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90" windowWidth="15195" windowHeight="9435" tabRatio="676" activeTab="4"/>
  </bookViews>
  <sheets>
    <sheet name="додаток 2" sheetId="1" r:id="rId1"/>
    <sheet name="додаток3" sheetId="2" r:id="rId2"/>
    <sheet name="додаток 4" sheetId="3" r:id="rId3"/>
    <sheet name="додаток 6" sheetId="4" r:id="rId4"/>
    <sheet name="додаток 7" sheetId="5" r:id="rId5"/>
  </sheets>
  <definedNames>
    <definedName name="_ftn2" localSheetId="0">'додаток 2'!#REF!</definedName>
    <definedName name="_ftnref2" localSheetId="0">'додаток 2'!#REF!</definedName>
    <definedName name="A">'додаток3'!$K$7</definedName>
    <definedName name="Hd">#REF!</definedName>
    <definedName name="Hdm">#REF!</definedName>
    <definedName name="Ho">#REF!</definedName>
    <definedName name="Hy">#REF!</definedName>
    <definedName name="Hz">#REF!</definedName>
    <definedName name="Kdm">#REF!</definedName>
    <definedName name="Kdm_s">#REF!</definedName>
    <definedName name="Kgmr">#REF!</definedName>
    <definedName name="Kmr">#REF!</definedName>
    <definedName name="Kym">#REF!</definedName>
    <definedName name="Kys">#REF!</definedName>
    <definedName name="Kysm">#REF!</definedName>
    <definedName name="Kzs">#REF!</definedName>
    <definedName name="Кod">#REF!</definedName>
    <definedName name="Кog">#REF!</definedName>
    <definedName name="Кoh">#REF!</definedName>
    <definedName name="Кyn">#REF!</definedName>
    <definedName name="Кzl">#REF!</definedName>
    <definedName name="Кzn">#REF!</definedName>
    <definedName name="Ккl">#REF!</definedName>
    <definedName name="Ккn">#REF!</definedName>
    <definedName name="Коd">#REF!</definedName>
    <definedName name="Куl">#REF!</definedName>
    <definedName name="Нkb">#REF!</definedName>
    <definedName name="Нkk">#REF!</definedName>
    <definedName name="_xlnm.Print_Area" localSheetId="0">'додаток 2'!$B$1:$Q$234</definedName>
    <definedName name="_xlnm.Print_Area" localSheetId="2">'додаток 4'!$A$1:$G$66</definedName>
  </definedNames>
  <calcPr fullCalcOnLoad="1"/>
</workbook>
</file>

<file path=xl/sharedStrings.xml><?xml version="1.0" encoding="utf-8"?>
<sst xmlns="http://schemas.openxmlformats.org/spreadsheetml/2006/main" count="1062" uniqueCount="649">
  <si>
    <t>Код тимчасової класифікації видатків та кредитування місцевих бюджетів</t>
  </si>
  <si>
    <t>Видатки загального фонду</t>
  </si>
  <si>
    <t>Видатки спеціального фонду</t>
  </si>
  <si>
    <t>Разом</t>
  </si>
  <si>
    <t>Всього</t>
  </si>
  <si>
    <t>з  них</t>
  </si>
  <si>
    <r>
      <t>Всього</t>
    </r>
    <r>
      <rPr>
        <sz val="9"/>
        <rFont val="Times New Roman"/>
        <family val="1"/>
      </rPr>
      <t xml:space="preserve"> </t>
    </r>
  </si>
  <si>
    <t>споживання</t>
  </si>
  <si>
    <t>оплата праці</t>
  </si>
  <si>
    <t>комунальні послуги та енергоносії</t>
  </si>
  <si>
    <t>за головними розпорядниками коштів</t>
  </si>
  <si>
    <t>(грн.)</t>
  </si>
  <si>
    <t xml:space="preserve">Назва головного розпорядника коштів </t>
  </si>
  <si>
    <t>Районна рада</t>
  </si>
  <si>
    <t>Інші видатки</t>
  </si>
  <si>
    <t>Районна державна адміністрація</t>
  </si>
  <si>
    <t>Хмельницька центральна районна лікарня</t>
  </si>
  <si>
    <t>080101</t>
  </si>
  <si>
    <t>Лікарні</t>
  </si>
  <si>
    <t>081007</t>
  </si>
  <si>
    <t>РАЗОМ</t>
  </si>
  <si>
    <t>Програми і централізовані заходи  боротьби з туберкульозом</t>
  </si>
  <si>
    <t>Вечiрнi (змiннi) школи</t>
  </si>
  <si>
    <t>Компенсаційні виплати інвалідам на бензин, ремонт, техобслуговування автотранспорту та транспортне обслуговування</t>
  </si>
  <si>
    <t>Утримання центрiв соцiальних служб для сім`ї, дітей та молоді</t>
  </si>
  <si>
    <t>Соціальні програми i заходи державних органiв у справах молоді</t>
  </si>
  <si>
    <t>Музеї i виставки</t>
  </si>
  <si>
    <t>Кiнематографiя</t>
  </si>
  <si>
    <t>250313</t>
  </si>
  <si>
    <t>Додаткова дотація з державного бюджету місцевим бюджетам на вирівнювання фінансової забезпеченості</t>
  </si>
  <si>
    <t>Інші субвенції</t>
  </si>
  <si>
    <t xml:space="preserve">Резервний фонд </t>
  </si>
  <si>
    <t>Резервний фонд</t>
  </si>
  <si>
    <t>Ч.Острівська районна лікарня</t>
  </si>
  <si>
    <t>Позашкiльнi заклади освiти, заходи iз позашкiльної роботи з дiтьми (Оздоровчий табір "Надія")</t>
  </si>
  <si>
    <t>Код типової відомчої класифікації видатків місцевих бюджетів</t>
  </si>
  <si>
    <r>
      <t>Найменування к</t>
    </r>
    <r>
      <rPr>
        <sz val="9"/>
        <rFont val="Times New Roman"/>
        <family val="1"/>
      </rPr>
      <t>оду тимчасової класифікації видатків та кредитування місцевих бюджетів</t>
    </r>
  </si>
  <si>
    <t>Загальний фонд</t>
  </si>
  <si>
    <t>Перелік державних та регіональних програм, які фінансуватимуться за рахунок коштів</t>
  </si>
  <si>
    <t xml:space="preserve">Спеціальний фонд </t>
  </si>
  <si>
    <t>Найменування програми</t>
  </si>
  <si>
    <t>Сума</t>
  </si>
  <si>
    <t>Програми і централізовані заходи боротьби з туберкульозом</t>
  </si>
  <si>
    <t>Інші видатки на соціальний захист населення</t>
  </si>
  <si>
    <t>Програма "Поліпшення кінообслуговування населення району"</t>
  </si>
  <si>
    <t xml:space="preserve">Програми підтримки районної газети "Прибузька зоря" "Місцеву інформацію - кожному жителю району" </t>
  </si>
  <si>
    <t xml:space="preserve">Програма "Піклування" </t>
  </si>
  <si>
    <t>150101</t>
  </si>
  <si>
    <t>Капітальні вкладення</t>
  </si>
  <si>
    <t>Антонівська</t>
  </si>
  <si>
    <t>Бахматовецька</t>
  </si>
  <si>
    <t>Везденецька</t>
  </si>
  <si>
    <t>Водичківська</t>
  </si>
  <si>
    <t>Гвардійська</t>
  </si>
  <si>
    <t>Гелетинецька</t>
  </si>
  <si>
    <t>Гнатовецька</t>
  </si>
  <si>
    <t>Грузевицька</t>
  </si>
  <si>
    <t>Давидковецька</t>
  </si>
  <si>
    <t>Жучковецька</t>
  </si>
  <si>
    <t>Захаровецька</t>
  </si>
  <si>
    <t>Копистинська</t>
  </si>
  <si>
    <t>Л.Гринівецька</t>
  </si>
  <si>
    <t>Малиницька</t>
  </si>
  <si>
    <t>Масівецька</t>
  </si>
  <si>
    <t>Осташковецька</t>
  </si>
  <si>
    <t>Пашковецька</t>
  </si>
  <si>
    <t>Педосовецька</t>
  </si>
  <si>
    <t>Печеська</t>
  </si>
  <si>
    <t>Пирогівська</t>
  </si>
  <si>
    <t>Райковецька</t>
  </si>
  <si>
    <t>Рідкодубська</t>
  </si>
  <si>
    <t>Ружичанська</t>
  </si>
  <si>
    <t>Ставчинецька</t>
  </si>
  <si>
    <t>Стуфчинецька</t>
  </si>
  <si>
    <t>Терешовецька</t>
  </si>
  <si>
    <t>Шаровечківська</t>
  </si>
  <si>
    <t>Шпиченецька</t>
  </si>
  <si>
    <t>Шумовецька</t>
  </si>
  <si>
    <t>Ч.Острівська</t>
  </si>
  <si>
    <t xml:space="preserve">Надання державного пільгового кредиту індивідуальним сільським забудовникам </t>
  </si>
  <si>
    <t>Субвенція з місцевого бюджету державному бюджету на виконання програм соціально - економічного та культурного розвитку регіонів</t>
  </si>
  <si>
    <t>Інші субвенції Андрійковецькій сільській раді</t>
  </si>
  <si>
    <t>Інші субвенції Масівецькій сільській раді</t>
  </si>
  <si>
    <t>Інші субвенції Антонівській сільській раді</t>
  </si>
  <si>
    <t>Інші субвенції Малиницькій сільській раді</t>
  </si>
  <si>
    <t>Інші субвенції Ч.Острівській селищній раді</t>
  </si>
  <si>
    <t>091107</t>
  </si>
  <si>
    <t>Соціальні програми і заходи державних органів у справах сімї</t>
  </si>
  <si>
    <t>Програма підтримки сімї на 2011 - 2015 роки</t>
  </si>
  <si>
    <t>Інші субвенції Миколаївській сільській раді</t>
  </si>
  <si>
    <t xml:space="preserve">Голова ради </t>
  </si>
  <si>
    <t>Додаткова дотація з ДБ МБ на забезпечення виплат, повязаних з підвищенням рівня оплати праці працівників бюджетної сфери</t>
  </si>
  <si>
    <t>Інші субвенції Бахматовецькій сільській раді</t>
  </si>
  <si>
    <t>Інші субвенції Педосовецькійсільській раді</t>
  </si>
  <si>
    <t>Інші дотації з районого бюджету Везденецькій сільській раді</t>
  </si>
  <si>
    <t>01</t>
  </si>
  <si>
    <t xml:space="preserve">Районна програма протидії захворюванню на туберкульоз </t>
  </si>
  <si>
    <t>10</t>
  </si>
  <si>
    <t>24</t>
  </si>
  <si>
    <t>до рішення районної ради</t>
  </si>
  <si>
    <t>Голова ради</t>
  </si>
  <si>
    <t>250403</t>
  </si>
  <si>
    <t>Видатки на покриття інших заборгованостей,що виникли у попередні роки</t>
  </si>
  <si>
    <t>Інші субвенції Копистинській сільській раді</t>
  </si>
  <si>
    <t>Кошти,що передаються за взаємними розрахунками між місцевими бюджетами</t>
  </si>
  <si>
    <t>Заходи у сфері захисту  населення та територій від надзвичайних ситуацій теногенного  та природнього характеру</t>
  </si>
  <si>
    <t xml:space="preserve">Програма підтримки індивідуального житлового будівництва на селі  та поліпшення  житлово побутових умов сільського населення  "Власний дім" в Хмельницькому районі </t>
  </si>
  <si>
    <t>Інші дотації з районого бюджету Пирогівській сільській раді</t>
  </si>
  <si>
    <t>Управління  соціального захисту населення Хмельницької РДА</t>
  </si>
  <si>
    <t>Управління фінансів Хмельницької РДА</t>
  </si>
  <si>
    <t>Програма "Депутатський фонд на 2013-2015 роки"</t>
  </si>
  <si>
    <t xml:space="preserve">Управління фінансів  РДА </t>
  </si>
  <si>
    <t>Інші субвенції Пирогівській сільській раді</t>
  </si>
  <si>
    <t>Управління соціального захисту населення РДА</t>
  </si>
  <si>
    <t>Інші   видатки</t>
  </si>
  <si>
    <t>Програма створення центру надання адміністративних  послуг у Хмельницькому районі</t>
  </si>
  <si>
    <t>Інші дотації з районого бюджету Андрійковецькій сільській раді</t>
  </si>
  <si>
    <t>Забезпечення централізованих заходів з лікування хворих на діабет</t>
  </si>
  <si>
    <t>Централізовані заходи з лікування онкологічних хворих</t>
  </si>
  <si>
    <t>Інші заходи по охороні  здоров"я</t>
  </si>
  <si>
    <t>Районна програма з лікування хворих на діабет</t>
  </si>
  <si>
    <t>Районна програма боротьби з онкозахворюваннями</t>
  </si>
  <si>
    <t>Районна програма  репродуктивного здоров"я нації</t>
  </si>
  <si>
    <t>Інші дотації з районого бюджету Осташковецькій сільській раді</t>
  </si>
  <si>
    <t>Інші дотації з районого бюджету Педосовецькій сільській раді</t>
  </si>
  <si>
    <t xml:space="preserve">Програма організації відзначення та проведення державних свят і масових заходів Хмельницькою районною державною адміністрацією та Хмельницькою районною радою </t>
  </si>
  <si>
    <t>Програма співфінансування проекту "Повноцінна реабілітація-право кожної дитини-інваліда"</t>
  </si>
  <si>
    <t>Відділ освіти, молоді та спорту Хмельницької РДА</t>
  </si>
  <si>
    <t>Компенсація населенню додаткових витрат на оплату послуг газопостачання, центрального опалення та централізованого постачання гарячої води</t>
  </si>
  <si>
    <t>Сектор культури  РДА</t>
  </si>
  <si>
    <t>Код програмної класифікації видатків та кредитування місцевих бюджетів  (КПКВК)</t>
  </si>
  <si>
    <t>0127460</t>
  </si>
  <si>
    <t>0126310</t>
  </si>
  <si>
    <t>0118600</t>
  </si>
  <si>
    <t>0118050</t>
  </si>
  <si>
    <t>0122010</t>
  </si>
  <si>
    <t>0122180</t>
  </si>
  <si>
    <t>0122260</t>
  </si>
  <si>
    <t>0122270</t>
  </si>
  <si>
    <t>0122801</t>
  </si>
  <si>
    <t>0128060</t>
  </si>
  <si>
    <t>0318600</t>
  </si>
  <si>
    <t>0317810</t>
  </si>
  <si>
    <t>0316060</t>
  </si>
  <si>
    <t>0318050</t>
  </si>
  <si>
    <t>0317440</t>
  </si>
  <si>
    <t>0322010</t>
  </si>
  <si>
    <t>0322120</t>
  </si>
  <si>
    <t>0322150</t>
  </si>
  <si>
    <t>0322180</t>
  </si>
  <si>
    <t>Розробка схем та  проектних рішень</t>
  </si>
  <si>
    <t>0328050</t>
  </si>
  <si>
    <t>0322240</t>
  </si>
  <si>
    <t>0317330</t>
  </si>
  <si>
    <t>1011020</t>
  </si>
  <si>
    <t>1011030</t>
  </si>
  <si>
    <t>1011170</t>
  </si>
  <si>
    <t>1011190</t>
  </si>
  <si>
    <t>1011200</t>
  </si>
  <si>
    <t>1011210</t>
  </si>
  <si>
    <t>1018050</t>
  </si>
  <si>
    <t>1016310</t>
  </si>
  <si>
    <t>1023112</t>
  </si>
  <si>
    <t>1033131</t>
  </si>
  <si>
    <t>1013140</t>
  </si>
  <si>
    <t>1013134</t>
  </si>
  <si>
    <t>1015011</t>
  </si>
  <si>
    <t>1045022</t>
  </si>
  <si>
    <t>1055033</t>
  </si>
  <si>
    <t>1513011</t>
  </si>
  <si>
    <t>1513021</t>
  </si>
  <si>
    <t>1513012</t>
  </si>
  <si>
    <t>1513022</t>
  </si>
  <si>
    <t>1513013</t>
  </si>
  <si>
    <t>1513023</t>
  </si>
  <si>
    <t>1513033</t>
  </si>
  <si>
    <t>1513014</t>
  </si>
  <si>
    <t>1513024</t>
  </si>
  <si>
    <t>1513050</t>
  </si>
  <si>
    <t>1513034</t>
  </si>
  <si>
    <t>1513015</t>
  </si>
  <si>
    <t>1513041</t>
  </si>
  <si>
    <t>1513042</t>
  </si>
  <si>
    <t>1513043</t>
  </si>
  <si>
    <t>1513044</t>
  </si>
  <si>
    <t>1513045</t>
  </si>
  <si>
    <t>1513046</t>
  </si>
  <si>
    <t>1513047</t>
  </si>
  <si>
    <t>1513048</t>
  </si>
  <si>
    <t>1513016</t>
  </si>
  <si>
    <t>1513027</t>
  </si>
  <si>
    <t>1513401</t>
  </si>
  <si>
    <t>1513134</t>
  </si>
  <si>
    <t>1513402</t>
  </si>
  <si>
    <t>1513181</t>
  </si>
  <si>
    <t>1513080</t>
  </si>
  <si>
    <t>1513090</t>
  </si>
  <si>
    <t>1523202</t>
  </si>
  <si>
    <t>151</t>
  </si>
  <si>
    <t>2427212</t>
  </si>
  <si>
    <t>2418050</t>
  </si>
  <si>
    <t>2416310</t>
  </si>
  <si>
    <t>5317330</t>
  </si>
  <si>
    <t>5318050</t>
  </si>
  <si>
    <t>7600000</t>
  </si>
  <si>
    <t>Інші дотації з районого бюджету  Бахматовецькій сільській раді</t>
  </si>
  <si>
    <t>Інші дотації з районого бюджету Масівецькій сільській раді</t>
  </si>
  <si>
    <t>Інші дотації з районого бюджету Пашковецькій сільській раді</t>
  </si>
  <si>
    <t>Інші дотації з районого бюджету Чабанівській сільській раді</t>
  </si>
  <si>
    <t>Інші дотації з районого бюджету Черепівківській сільській раді</t>
  </si>
  <si>
    <t>Інші субвенції Гелетинецькій сільській раді</t>
  </si>
  <si>
    <t xml:space="preserve"> </t>
  </si>
  <si>
    <t xml:space="preserve">Найменування </t>
  </si>
  <si>
    <t xml:space="preserve">Андрійковецька </t>
  </si>
  <si>
    <t>Аркадієвецька</t>
  </si>
  <si>
    <t>Малашовецька</t>
  </si>
  <si>
    <t>Миколаівська</t>
  </si>
  <si>
    <t>Розсошанська</t>
  </si>
  <si>
    <t>Чабанівська</t>
  </si>
  <si>
    <t>Всього по селещах і селах</t>
  </si>
  <si>
    <t>Дотації з районного бюджету</t>
  </si>
  <si>
    <t>Субвенції з районного бюджету</t>
  </si>
  <si>
    <t xml:space="preserve">Субвенція загального фонду </t>
  </si>
  <si>
    <t>Субвенція спеціального фонду</t>
  </si>
  <si>
    <t>Код функціональної класифікації видатків та кредитування бюджету</t>
  </si>
  <si>
    <t>Видатки споживання</t>
  </si>
  <si>
    <t>Видатки розвитку</t>
  </si>
  <si>
    <t>0110170</t>
  </si>
  <si>
    <t>0921</t>
  </si>
  <si>
    <t>1011090</t>
  </si>
  <si>
    <t>0490</t>
  </si>
  <si>
    <t>1513030</t>
  </si>
  <si>
    <t>1511060</t>
  </si>
  <si>
    <t>0824</t>
  </si>
  <si>
    <t>1040</t>
  </si>
  <si>
    <t>0810</t>
  </si>
  <si>
    <t>0133</t>
  </si>
  <si>
    <t>7618200</t>
  </si>
  <si>
    <t>7628010</t>
  </si>
  <si>
    <t>0763</t>
  </si>
  <si>
    <t>на утримання дошкільних закладів</t>
  </si>
  <si>
    <t>на утримання закладів культури</t>
  </si>
  <si>
    <t>пожежна охорона</t>
  </si>
  <si>
    <t>Інша субвенція на утримання дошкільних закладів освіти</t>
  </si>
  <si>
    <t>Інша субвенція на утримання закладів культури</t>
  </si>
  <si>
    <t xml:space="preserve">Програма розвитку трудового архіву при Хмельницькій районній раді </t>
  </si>
  <si>
    <t>Додаток 2</t>
  </si>
  <si>
    <t>Додаток № 4</t>
  </si>
  <si>
    <t>Програма "Депутатський фонд"</t>
  </si>
  <si>
    <t>Программа впровадження електронного документообігу у Хмельницькому районі на 2015-2017 роки</t>
  </si>
  <si>
    <t>Програма захисту населення і територій від надзвичайних ситуацій техногенного та природнього  характеру у Хмельницькому районі на 2015-2019 роки</t>
  </si>
  <si>
    <t>Програма забезпечення пожежної безпеки населенних пунктів та об"єктів усіх форм власності,розвитку інфраструктури підрозділів пожежної охорони  у Хмельницькому районі  на 2016-2020 роки</t>
  </si>
  <si>
    <t xml:space="preserve">Програма підтримки сімї </t>
  </si>
  <si>
    <t>Програма соціального захисту та матеріальної підтримки дітей - сиріт, дітей, позбавлених батьківського піклування, та дітей, які опинились в складних життєвих обставинах</t>
  </si>
  <si>
    <t>Інша субвенція на утримання доріг</t>
  </si>
  <si>
    <t>Відділ агропромислового розвитку Хмельницької РДА</t>
  </si>
  <si>
    <t>Інші субвенції  Черепівківській сільській раді</t>
  </si>
  <si>
    <t>Програма "Почесний громадянин району"</t>
  </si>
  <si>
    <t>Код програмної класифікації видатків та кредитування місцевих бюджетів</t>
  </si>
  <si>
    <t>Найменування коду програмної класифікації видатків та кредитування місцевих бюджетів</t>
  </si>
  <si>
    <t>0116310</t>
  </si>
  <si>
    <t>0117470</t>
  </si>
  <si>
    <t>Реалізація заходів щодо інвестиційного розвитку території</t>
  </si>
  <si>
    <t>Багатопрофільна стаціонарна медична допомога населенню</t>
  </si>
  <si>
    <t>Первинна медична допомога населенню</t>
  </si>
  <si>
    <t>0316430</t>
  </si>
  <si>
    <t>Надання загальної середньої освіти загальноосвітніми навчальними закладами(в т.ч. школою-дитячим садком,інтернатом пришколі),спеціалізованими школами,ліцеями,гімназіями,колегіумами</t>
  </si>
  <si>
    <t>Надання позашкільної освіти позашкiльними закладами освiти, заходи iз позашкiльної роботи з дiтьми</t>
  </si>
  <si>
    <t>Заходи державної політики з питань дітей  та їх соціального захисту</t>
  </si>
  <si>
    <t>Утримання та навчально-тренувальна робота комунальних дитячо-юнацьких спортивних шкiл</t>
  </si>
  <si>
    <t>Надання субсидій населенню для відшкодування витрат на оплату житлово-комунальних послуг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</si>
  <si>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</si>
  <si>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Надання інших пільг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</t>
  </si>
  <si>
    <t>Надання пільг окремим категоріям громадян з оплати послуг зв`язку</t>
  </si>
  <si>
    <t>Надання допомоги у зв`язку з вагітністю і пологами</t>
  </si>
  <si>
    <t>Надання допомога при народженні дитини</t>
  </si>
  <si>
    <t>Надання допомоги на дітей, над якими встановлено опіку чи піклування</t>
  </si>
  <si>
    <t>Надання допомоги  на дітей одиноким матерям</t>
  </si>
  <si>
    <t>Надання державної  соціальної допомоги малозабезпеченим сім`ям</t>
  </si>
  <si>
    <t>Надання тимчасової державної допомоги дітям</t>
  </si>
  <si>
    <t>Надання допомоги при усиновленні дитини</t>
  </si>
  <si>
    <t>Пільгове медичне обслуговування осіб, які постраждали внаслідок Чорнобильської катастрофи</t>
  </si>
  <si>
    <t>Забезпечення соціальними послугами за місцем проживання громадян,які не здатні до самообслуговування у зв"язку з похилим віком,хворобою,інвалідністю</t>
  </si>
  <si>
    <t>Заходи державної політики з питань сім"ї</t>
  </si>
  <si>
    <t>Організаційне,інформаційно-аналітичне та матеріально-технічне забезпечення діяльності районної ради</t>
  </si>
  <si>
    <t>0312212</t>
  </si>
  <si>
    <t>0332180</t>
  </si>
  <si>
    <t>8600</t>
  </si>
  <si>
    <t>2010</t>
  </si>
  <si>
    <t>2180</t>
  </si>
  <si>
    <t>1020</t>
  </si>
  <si>
    <t>1090</t>
  </si>
  <si>
    <t>4060</t>
  </si>
  <si>
    <t>Код ФКВКБ</t>
  </si>
  <si>
    <t>16=5+10</t>
  </si>
  <si>
    <t>0111</t>
  </si>
  <si>
    <t>0731</t>
  </si>
  <si>
    <t>0960</t>
  </si>
  <si>
    <t>0990</t>
  </si>
  <si>
    <t>0828</t>
  </si>
  <si>
    <t>0829</t>
  </si>
  <si>
    <t>0180</t>
  </si>
  <si>
    <t>5031</t>
  </si>
  <si>
    <t>5053</t>
  </si>
  <si>
    <t>8050</t>
  </si>
  <si>
    <t xml:space="preserve">Внески до статутного капіталу </t>
  </si>
  <si>
    <t>7470</t>
  </si>
  <si>
    <t>6310</t>
  </si>
  <si>
    <t>3112</t>
  </si>
  <si>
    <t>0421</t>
  </si>
  <si>
    <t>0620</t>
  </si>
  <si>
    <t>Сприяння розвитку малого та середнього підприємництва</t>
  </si>
  <si>
    <t>0411</t>
  </si>
  <si>
    <t>Програма розвитку малого та середнього підприємництва у Хмельницькому районі</t>
  </si>
  <si>
    <t>Програма розвитку агропромислового комплексу району на 2017-2020 роки</t>
  </si>
  <si>
    <t>Програма "Розвитку освіти Хмельницького району на 2016-2020 роки"</t>
  </si>
  <si>
    <t>інше поточне утримання</t>
  </si>
  <si>
    <t>Програма територіальної оборони Хмельницького району на 2017-2018 роки</t>
  </si>
  <si>
    <t>Проведення місцевих виборів</t>
  </si>
  <si>
    <t>0160</t>
  </si>
  <si>
    <t>Розсошанська сільська рада</t>
  </si>
  <si>
    <t>Лігогринівецька сільська рада</t>
  </si>
  <si>
    <t>Організація та проведення громадських робіт</t>
  </si>
  <si>
    <t>Пархомовецька</t>
  </si>
  <si>
    <t>02</t>
  </si>
  <si>
    <t>06</t>
  </si>
  <si>
    <t>08</t>
  </si>
  <si>
    <t>0110150</t>
  </si>
  <si>
    <t>0150</t>
  </si>
  <si>
    <t>0116030</t>
  </si>
  <si>
    <t>0112144</t>
  </si>
  <si>
    <t>2144</t>
  </si>
  <si>
    <t>Централізовані  заходи з лікування хворих на цукровий та нецукровий діабет</t>
  </si>
  <si>
    <t>Організація благоустрою населенних пунктів</t>
  </si>
  <si>
    <t>0218110</t>
  </si>
  <si>
    <t>8110</t>
  </si>
  <si>
    <t>0320</t>
  </si>
  <si>
    <t>Заходи запобігання та ліквідації надзвичайних ситуацій та наслідків стихійного лиха</t>
  </si>
  <si>
    <t>0217610</t>
  </si>
  <si>
    <t>7610</t>
  </si>
  <si>
    <t>0611020</t>
  </si>
  <si>
    <t>0611090</t>
  </si>
  <si>
    <t>Методичне забезпечення діяльності навчальних закладів</t>
  </si>
  <si>
    <t>0611150</t>
  </si>
  <si>
    <t>1150</t>
  </si>
  <si>
    <t>0611160</t>
  </si>
  <si>
    <t>1160</t>
  </si>
  <si>
    <t>Інші програми,заклади та заходи у сфері освіти</t>
  </si>
  <si>
    <t>0617321</t>
  </si>
  <si>
    <t>7321</t>
  </si>
  <si>
    <t>0443</t>
  </si>
  <si>
    <t>Будівництво освітніх установ та закладів</t>
  </si>
  <si>
    <t>0613112</t>
  </si>
  <si>
    <t>0615031</t>
  </si>
  <si>
    <t>0615053</t>
  </si>
  <si>
    <t>Фінансова підтримка на утримання місцевих осередків(рад)всеукраїнських організацій фізкультурно-спортивної спрямованості</t>
  </si>
  <si>
    <t>Надання пільг на оплату житлово-комунальних послуг окремим категоріям громадян відповідно до законодавства</t>
  </si>
  <si>
    <t>0813011</t>
  </si>
  <si>
    <t>0813012</t>
  </si>
  <si>
    <t>0813021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</si>
  <si>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</si>
  <si>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0813022</t>
  </si>
  <si>
    <t>0813031</t>
  </si>
  <si>
    <t>Надання інших пільг окремим категоріям громадян відповідно до законодавства</t>
  </si>
  <si>
    <t>0813032</t>
  </si>
  <si>
    <t>0813033</t>
  </si>
  <si>
    <t>Компенсаційні виплати на пільговий проїзд автомобільним транспортом окремим категоріям громадян</t>
  </si>
  <si>
    <t>0813050</t>
  </si>
  <si>
    <t>0813049</t>
  </si>
  <si>
    <t>0813041</t>
  </si>
  <si>
    <t>0813042</t>
  </si>
  <si>
    <t>0813043</t>
  </si>
  <si>
    <t>0813044</t>
  </si>
  <si>
    <t>0813045</t>
  </si>
  <si>
    <t>0813046</t>
  </si>
  <si>
    <t>0813047</t>
  </si>
  <si>
    <t>0813048</t>
  </si>
  <si>
    <t>0813090</t>
  </si>
  <si>
    <t>0813104</t>
  </si>
  <si>
    <t>0813121</t>
  </si>
  <si>
    <t>Утримання та забезпечення діяльності центрів соціальних служб для сім"ї,дітей та молоді</t>
  </si>
  <si>
    <t>0813123</t>
  </si>
  <si>
    <t>1050</t>
  </si>
  <si>
    <t>4030</t>
  </si>
  <si>
    <t>Забезпечення діяльності бібліотек</t>
  </si>
  <si>
    <t>Забезпечення діяльності палаців і будинків культури,клубів,центрів дозвілля та інших клубних закладів</t>
  </si>
  <si>
    <t>Інші заклади та заходи в галузі культури і мистецтва</t>
  </si>
  <si>
    <t>Фінансова підтримка засобів масової інформації</t>
  </si>
  <si>
    <t>7110</t>
  </si>
  <si>
    <t>Реалізація програм в галузі сільського господарства</t>
  </si>
  <si>
    <t>9770</t>
  </si>
  <si>
    <t>9800</t>
  </si>
  <si>
    <t xml:space="preserve">Субвенція з місцевого бюджету державному бюджету </t>
  </si>
  <si>
    <t>0217600</t>
  </si>
  <si>
    <t>Інші програми та заходи,пов"язані з економічною діяльністю</t>
  </si>
  <si>
    <t>Інша діяльність</t>
  </si>
  <si>
    <t>0217000</t>
  </si>
  <si>
    <t>Економічна діяльність</t>
  </si>
  <si>
    <t>0611000</t>
  </si>
  <si>
    <t>Освіта</t>
  </si>
  <si>
    <t>0617000</t>
  </si>
  <si>
    <t>0617300</t>
  </si>
  <si>
    <t>Будівництво та регіональний розвиток</t>
  </si>
  <si>
    <t>0613000</t>
  </si>
  <si>
    <t>Соціальний захист та соціальне забезпечення</t>
  </si>
  <si>
    <t>0613110</t>
  </si>
  <si>
    <t>Заклади і заходи з питань дітей та їх соціального захисту</t>
  </si>
  <si>
    <t>0615000</t>
  </si>
  <si>
    <t>Фізична культура і спорт</t>
  </si>
  <si>
    <t>0615030</t>
  </si>
  <si>
    <t>Розвиток дитячо-юнацького та резервного спорту</t>
  </si>
  <si>
    <t>0615050</t>
  </si>
  <si>
    <t>Підтримка фізкультурно-спортивного руху</t>
  </si>
  <si>
    <t>0813160</t>
  </si>
  <si>
    <t>Засоби масової інформації</t>
  </si>
  <si>
    <t>8700</t>
  </si>
  <si>
    <t>0613100</t>
  </si>
  <si>
    <t>37</t>
  </si>
  <si>
    <t>1018410</t>
  </si>
  <si>
    <t>2417110</t>
  </si>
  <si>
    <t>0112010</t>
  </si>
  <si>
    <t>2111</t>
  </si>
  <si>
    <t>0725</t>
  </si>
  <si>
    <t>Первинна медична допомога населенню,що надається центрами первинної медичної(медико-санітарної)допомоги</t>
  </si>
  <si>
    <t>0611161</t>
  </si>
  <si>
    <t>1161</t>
  </si>
  <si>
    <t>0611162</t>
  </si>
  <si>
    <t>1162</t>
  </si>
  <si>
    <t>Забезпечення діяльності інших закладів у сфері освіти</t>
  </si>
  <si>
    <t>Інші програми та заходи у сфері освіти</t>
  </si>
  <si>
    <t>Надання спеціальної освіти школами естетичного виховання(музичними,художніми,хореографічними,театральними,хоровими,мистецькими )</t>
  </si>
  <si>
    <t>Надання державної соціальної допомоги особам з інвалідністю з дитинства та дітям з інвалідністю</t>
  </si>
  <si>
    <t>Видатки на поховання учасників бойових дій та осіб з інвалідністю внаслідок війни</t>
  </si>
  <si>
    <t>Надання соціальних та реабілітаційних послуг громадянам похилого віку,особам з інвалідністю,дітям з інвалідністю в установах соціального обслуговування</t>
  </si>
  <si>
    <t>3160</t>
  </si>
  <si>
    <t>1010</t>
  </si>
  <si>
    <t>Компенсаційні виплати особам з інвалідністю на бензин, ремонт, техобслуговування автотранспорту та транспортне обслуговування</t>
  </si>
  <si>
    <t>0813171</t>
  </si>
  <si>
    <t>0813172</t>
  </si>
  <si>
    <t>Встановлення телефонів особам з інвалідністю І і ІІ груп</t>
  </si>
  <si>
    <t>0813192</t>
  </si>
  <si>
    <t>Надання фінансової підтримки громадським організаціям осіб з інвалідністю і ветеранів,діяльність яких має соціальну спрямованість</t>
  </si>
  <si>
    <t>0813210</t>
  </si>
  <si>
    <t>3210</t>
  </si>
  <si>
    <t>0813241</t>
  </si>
  <si>
    <t>Забезпечення діяльності інших закладів у сфері соціального захисту і соціального забезпечення</t>
  </si>
  <si>
    <t>0813242</t>
  </si>
  <si>
    <t>Інші заходи у сфері соціального захисту і соціального забезпечення</t>
  </si>
  <si>
    <t>4081</t>
  </si>
  <si>
    <t>Забезпечення діяльності інших закладів в галузі культури і мистецтва</t>
  </si>
  <si>
    <t>0813230</t>
  </si>
  <si>
    <t>3230</t>
  </si>
  <si>
    <t>0112111</t>
  </si>
  <si>
    <t>0118000</t>
  </si>
  <si>
    <t>0110180</t>
  </si>
  <si>
    <t>Інша діяльність у сфері державного управління</t>
  </si>
  <si>
    <t>0813081</t>
  </si>
  <si>
    <t>0813082</t>
  </si>
  <si>
    <t>0813083</t>
  </si>
  <si>
    <t>0813085</t>
  </si>
  <si>
    <t>Надання державної соціальної допомоги особам,які не мають права на пенсію,та особам з інваладністю,державної соціальної допомоги на догляд</t>
  </si>
  <si>
    <t>Надання допомоги по догляду за особами з інвалідністю І чи ІІ групи внаслідок психічного розладу</t>
  </si>
  <si>
    <t>Надання щомісячної компенсаційної виплати непрацюючій працездатній особі,яка доглядає за особою з інвалідністю І групи,а також за особою,яка досягла 80-річного віку</t>
  </si>
  <si>
    <t>Надання соціальних гарантій фізичним особам,які надають соціальні послуги громадянам похилого віку,особам з інвалідністю,дітям з інвалідністю,хворим,які не здатні до самообслуговування і потребують сторонньої допомоги</t>
  </si>
  <si>
    <t>Додаток № 6</t>
  </si>
  <si>
    <t>до рішення  районної ради</t>
  </si>
  <si>
    <t>Код</t>
  </si>
  <si>
    <t>Назва</t>
  </si>
  <si>
    <t>Спеціальний фонд</t>
  </si>
  <si>
    <t>У т.ч. бюджет розвитку</t>
  </si>
  <si>
    <t>200000</t>
  </si>
  <si>
    <t>Внутрішнє фінансування</t>
  </si>
  <si>
    <t>Передача коштів із загального до спеціального фонду бюджету</t>
  </si>
  <si>
    <t>208100</t>
  </si>
  <si>
    <t>На початок періоду</t>
  </si>
  <si>
    <t>208200</t>
  </si>
  <si>
    <t>На кінець періоду</t>
  </si>
  <si>
    <t>Всього за типом кредитора</t>
  </si>
  <si>
    <t>600000</t>
  </si>
  <si>
    <t>Фінансування за активними операціями</t>
  </si>
  <si>
    <t>Зміна обсягів готівкових коштів на початок періоду</t>
  </si>
  <si>
    <t>Зміна обсягів готівкових коштів на кінець періоду</t>
  </si>
  <si>
    <t>Всього за типом боргового зобов"язання</t>
  </si>
  <si>
    <t xml:space="preserve">      Голова ради </t>
  </si>
  <si>
    <t>Додаток №7</t>
  </si>
  <si>
    <t xml:space="preserve">від  </t>
  </si>
  <si>
    <t>за рахунок коштів бюджету розвитку</t>
  </si>
  <si>
    <t>Назва головного розпорядника коштів</t>
  </si>
  <si>
    <t>Назва об’єктів відповідно  до проектно- кошторисної документації; тощо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</si>
  <si>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</si>
  <si>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</si>
  <si>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 xml:space="preserve"> Всього видатків на завершення будівництва об’єктів на майбутні роки </t>
  </si>
  <si>
    <t xml:space="preserve">Разом видатків на поточний рік </t>
  </si>
  <si>
    <t>Капітальні видатки</t>
  </si>
  <si>
    <t>0132180</t>
  </si>
  <si>
    <t>0726</t>
  </si>
  <si>
    <t>080800</t>
  </si>
  <si>
    <t>Центри первинної медичної (медико-санітарної) допомоги</t>
  </si>
  <si>
    <t>250404</t>
  </si>
  <si>
    <t>03</t>
  </si>
  <si>
    <t>210106</t>
  </si>
  <si>
    <t>Заходи у сфері захисту населення і територій від надзвичайних ситуацій техногенного та природного характеру</t>
  </si>
  <si>
    <t xml:space="preserve"> Тимчасово централізовано до подальшого розподілу</t>
  </si>
  <si>
    <t>080300</t>
  </si>
  <si>
    <t>Полiклiнiки i амбулаторiї (крiм спецiалiзованих полiклiнiк та  загальних i спецiалiзованих  стоматологiчних полiклiнiк)</t>
  </si>
  <si>
    <t>080600</t>
  </si>
  <si>
    <t>Фельдшерсько - акушерські пункти</t>
  </si>
  <si>
    <t>Видатки на покриття інших заборгованостей ,що виникли у попередні роки</t>
  </si>
  <si>
    <t>Будівництво  водопроводу Гнатовецької амбулаторії</t>
  </si>
  <si>
    <t>Будівництво криниці по Гнатовецькій амбулаторії</t>
  </si>
  <si>
    <t>Будівництво системи електроопалення по Доброгорщанському фельдшерсько-акушерському пункту</t>
  </si>
  <si>
    <t>Будівництво системи газопостачання по Жучковецькому фельдшерсько-акушерському пункту</t>
  </si>
  <si>
    <t>Інші  видатки</t>
  </si>
  <si>
    <t>150202</t>
  </si>
  <si>
    <t>Розробка схем та проектних рішень</t>
  </si>
  <si>
    <t>Поточні видатки</t>
  </si>
  <si>
    <t>070401</t>
  </si>
  <si>
    <t>Позашкiльнi заклади освiти, заходи iз позашкiльної роботи з дiтьми</t>
  </si>
  <si>
    <t>1200</t>
  </si>
  <si>
    <t>Здійснення  централiзованого господарського обслуговування</t>
  </si>
  <si>
    <t>Реконструкція котельні Стуфчинецької ЗОШ</t>
  </si>
  <si>
    <t>Добудова приміщення та облаштування внутрішніх туалетівГрузевицькій ЗОШ</t>
  </si>
  <si>
    <t xml:space="preserve"> реконструкцію лінії електропередача Чорноострівського ЗОШ</t>
  </si>
  <si>
    <t>Облаштування туалетів в Водичківській ЗОШ</t>
  </si>
  <si>
    <t>Облаштування  та прибудова санвузлів Марянівській ЗОШ</t>
  </si>
  <si>
    <t>Управління соціального захисту населення Хмельницької РДА</t>
  </si>
  <si>
    <t>091204</t>
  </si>
  <si>
    <t>Територiальнi центри i вiддiлення соцiальної допомоги на дому (Ч.Острівський територіальний центр)</t>
  </si>
  <si>
    <t>Будівництво гаража Хмельницькому територіальному центру</t>
  </si>
  <si>
    <t>Інші 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</t>
  </si>
  <si>
    <t>Житлове будівництво та придбання житла для окремих категорій населення</t>
  </si>
  <si>
    <t>Будівництво(придбання) житла для сімей загиблих військовослужбовців,які брали участь в АТО,а також для інвалідів І-Іігрупи з числа військовослужбовців,які брали участь в АТО,та потребують поліпшення житлових умов</t>
  </si>
  <si>
    <t>091206</t>
  </si>
  <si>
    <t>Центри соціальної реабілітації дітей - інвалідів</t>
  </si>
  <si>
    <t xml:space="preserve"> Співфінансуваня проекту " Повноцінна реабілітація - право кожної дитини-інваліда"</t>
  </si>
  <si>
    <t>Сектор  культури Хмельницької РДА</t>
  </si>
  <si>
    <t>Бiблiотеки</t>
  </si>
  <si>
    <t>110202</t>
  </si>
  <si>
    <t>4090</t>
  </si>
  <si>
    <t>Палаци i будинки культури, клуби та iншi заклади клубного типу</t>
  </si>
  <si>
    <t>110205</t>
  </si>
  <si>
    <t>Школи естетичного виховання дiтей</t>
  </si>
  <si>
    <t>Реконструкція  котельні Хмельницького районного будинку культури</t>
  </si>
  <si>
    <t>Відділ у справах молоді та спорту  Хмельницької РДА</t>
  </si>
  <si>
    <t>Утримання центрівсоціальних служб  для сімї, дітей та молоді</t>
  </si>
  <si>
    <t>Капітальні трансферти</t>
  </si>
  <si>
    <t>Управління агропромислового розвитку Хмельницької РДА</t>
  </si>
  <si>
    <t>Бібліотеки</t>
  </si>
  <si>
    <t>0112146</t>
  </si>
  <si>
    <t>2146</t>
  </si>
  <si>
    <t>Відшкодування вартості лікарських засобів для лікування окремих захворювань</t>
  </si>
  <si>
    <t>0117670</t>
  </si>
  <si>
    <t>0117000</t>
  </si>
  <si>
    <t>7670</t>
  </si>
  <si>
    <t>Внески до статутного капіталу суб"єктів господарювання</t>
  </si>
  <si>
    <t>0617363</t>
  </si>
  <si>
    <t>7363</t>
  </si>
  <si>
    <t>0617320</t>
  </si>
  <si>
    <t>Будівництво об"єктів соціально-культурного призначення</t>
  </si>
  <si>
    <t>0617360</t>
  </si>
  <si>
    <t>Виконання інвестиційних проектів</t>
  </si>
  <si>
    <t>Виконання інвестиційних проектів в рамках здійснення заходів щодо соціально-економічного розвитку окремих територій (включаючи співфінансування)</t>
  </si>
  <si>
    <t>1017363</t>
  </si>
  <si>
    <t>Субвенція з місцевого бюджету державному бюджету на виконання програм соціально - економічного  розвитку регіонів</t>
  </si>
  <si>
    <t>Субвенція з місцевого бюджету державному бюджету на виконання програм соціально - економічного розвитку регіонів</t>
  </si>
  <si>
    <t>7130</t>
  </si>
  <si>
    <t>Проведення заходів з землеустрою</t>
  </si>
  <si>
    <t>2417130</t>
  </si>
  <si>
    <t>0110191</t>
  </si>
  <si>
    <t>0191</t>
  </si>
  <si>
    <t>9620</t>
  </si>
  <si>
    <t>Субвенція з місцевого бюджету на проведення виборів депутатів місцевих рад та сільських, селищних, міських голів за рахунок відповідної субвенції з державного бюджету</t>
  </si>
  <si>
    <t>0210191</t>
  </si>
  <si>
    <t>Реконструкція існуючих газових мереж з заміною ВОГ Водичківської ЗОШ І-ІІ ступенів</t>
  </si>
  <si>
    <t>9570</t>
  </si>
  <si>
    <t>Інша субвенція Давидковецькій сільській раді</t>
  </si>
  <si>
    <t>0813084</t>
  </si>
  <si>
    <t xml:space="preserve"> Надання тимчасової державної соціальної допомоги непрацюючій особі ,яка досягла загального пенсійного віку,але не набула права на пенсійну виплату</t>
  </si>
  <si>
    <t>0614030</t>
  </si>
  <si>
    <t>0614060</t>
  </si>
  <si>
    <t>0614080</t>
  </si>
  <si>
    <t>0614081</t>
  </si>
  <si>
    <t>0611100</t>
  </si>
  <si>
    <t>Програма "Соціальна підтримка осіб, які беруть (брали) участь в антитерористичній операції та членів їх сімей на 2018-2020роки"</t>
  </si>
  <si>
    <t>Відділ освіти,культури,молоді та спорту РДА</t>
  </si>
  <si>
    <t>Відділ освіти,культури,молоді та спорту Хмельницької РДА</t>
  </si>
  <si>
    <t>Реконструкція існуючих газових мереж з заміною ВОГ будівлі відділу освіти,культури,молоді та спорту Хмельницької РДА</t>
  </si>
  <si>
    <t>Реконструкція існуючих газових мереж з заміною ВОГ Малиницького НВК</t>
  </si>
  <si>
    <t xml:space="preserve">від </t>
  </si>
  <si>
    <t>9510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</si>
  <si>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</si>
  <si>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Інша субвенція Малиницькій сільській раді</t>
  </si>
  <si>
    <t>0813112</t>
  </si>
  <si>
    <t>9150</t>
  </si>
  <si>
    <t>Інші дотації з місцевого бюджету Масівецькій сільській раді</t>
  </si>
  <si>
    <t>Міжбюджетні трансферти з районного бюджету місцевим бюджетам на 2019 рік</t>
  </si>
  <si>
    <t>Перелік об’єктів, видатки на які у 2019 році будуть проводитися  за рахунок коштів бюджету розвитку</t>
  </si>
  <si>
    <t>у тому числі бюджет розвитку</t>
  </si>
  <si>
    <t>видатки розвитку</t>
  </si>
  <si>
    <t>районного бюджету  у 2019 році</t>
  </si>
  <si>
    <t xml:space="preserve">Джерела фінансування районного бюджету на 2019 рік </t>
  </si>
  <si>
    <t>0113242</t>
  </si>
  <si>
    <t>3242</t>
  </si>
  <si>
    <t>Інші субвенції  Гвардійській сільській раді</t>
  </si>
  <si>
    <t xml:space="preserve">Чорноострівська </t>
  </si>
  <si>
    <t>Програма "Про відшкодування втрат перевізникам від перевезення пільгових категорій громадян на території Хмельницького району на 2019 рік"</t>
  </si>
  <si>
    <t>Розподіл видатків районного бюджету на 2019 рік</t>
  </si>
  <si>
    <t>Виплата державної соціальної допомоги на дітей-сиріт та дітей,позбавлених батьківського піклування,у дитячих будинках сімейного типу та прийомних сім"ях,грошового забезпечення батькам-вихователям і прийомним батькам за надання соціальних послуг у дитячих будинках сімейного типу та прийомних сім"ях за принципом "гроші ходять за дитиною" та оплату послуг із здійснення патронату над дитиною та виплата соціальної допомоги на утримання дитини в сім"ї патронатного вихователя,підтримка малих групових будинків</t>
  </si>
  <si>
    <t>0813140</t>
  </si>
  <si>
    <t>Оздоровлення та відпочинок дітей(крім заходів з оздоровлення дітей,що здійснюються за рахунок коштів на оздоровлення громадян ,які постраждали внаслідок Чорнобильської катастрофи)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</si>
  <si>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бюджету,що утворився на початок бюджетного періоду</t>
  </si>
  <si>
    <t>0113243</t>
  </si>
  <si>
    <t>0117363</t>
  </si>
  <si>
    <t>Надання допомоги на дітей,хворих на тяжкі перинатальні ураження нервової системи ,тяжкі вроджені вади розвитку,рідкісні орфанні захворювання,онкологічні,онкогематологічні захворювання,дитячий церебральний параліч,тяжкі психічні розлади,цукровий діабет І типу(інсулінозалежний),гострі або хронічні захворювання нирок ІV ступеня,на дитину,яка отримала тяжку травму,потребує трансплантації органа,потребує паліативної допомоги,яким не встановлено інвалідність</t>
  </si>
  <si>
    <t>Програма забезпечення виконання Хмельницькою районною державною адміністрацією повноважень,делегованих Хмельницькою районною радою на 2018-2019 роки</t>
  </si>
  <si>
    <t>Програма територіальної оборони Хмельницького району на 2019-2021 роки</t>
  </si>
  <si>
    <t>Програма розвитку місцевого самоврядування в Хмельницькому районі на 2019-2020 роки</t>
  </si>
  <si>
    <t>Програма підтримки та збереження об'єктів і майна спільної власності територіальних громад Хмельницького району на 2018-2020 роки</t>
  </si>
  <si>
    <t xml:space="preserve">Програма щодо організації відзначення та проведення державних свят і масових заходів Хмельницькою районною державною адміністрацією та Хмельницькою районною радою </t>
  </si>
  <si>
    <t>Програма забезпечення охорони прав і свобод людини, профілактики злочинності та підтримання публічної безпеки і порядку на території Хмельницького району на 2018-2020 роки</t>
  </si>
  <si>
    <t>Інші субвенції Чорноострівській сільській  раді</t>
  </si>
  <si>
    <t>Програма оздоровлення та відпочинку дітей на період до 2022 року</t>
  </si>
  <si>
    <t>Відшкодування послуги з догляду за дитиною до трьох років "муніципальна няня"</t>
  </si>
  <si>
    <t>Інші субвенції Давидковецькій сільській раді</t>
  </si>
  <si>
    <r>
      <t>Найменування к</t>
    </r>
    <r>
      <rPr>
        <b/>
        <sz val="9"/>
        <rFont val="Times New Roman"/>
        <family val="1"/>
      </rPr>
      <t>оду програмної класифікації видатків та кредитування місцевих бюджетів</t>
    </r>
  </si>
  <si>
    <t>0813086</t>
  </si>
  <si>
    <t>0813087</t>
  </si>
  <si>
    <t>Надання допомоги на дітей,які виховуються в багатодітних сім`ях</t>
  </si>
  <si>
    <t>Програма підтримки розвитку КНП "Центр ПМД Хмельницького району" на 2018-2019 роки</t>
  </si>
  <si>
    <t>Програма підтримкки розвитку КНП "Хмельницька центральна районна лікарня" на 2019 рік</t>
  </si>
  <si>
    <t>Реконструкція існуюючих газових мереж із встановленням ВОГ у Кудринецькій ЗОШ</t>
  </si>
  <si>
    <t xml:space="preserve">Програма зайнятості  населення Хмельницького району </t>
  </si>
  <si>
    <t>9771</t>
  </si>
  <si>
    <t>9772</t>
  </si>
  <si>
    <t>9773</t>
  </si>
  <si>
    <t>0181</t>
  </si>
  <si>
    <t>0182</t>
  </si>
  <si>
    <t>0183</t>
  </si>
  <si>
    <t>0816083</t>
  </si>
  <si>
    <t>6083</t>
  </si>
  <si>
    <t>0610</t>
  </si>
  <si>
    <t>Проектні,будівельно-ремонтні роботи,придбання житла та приміщень для розвитку сімейних та інших форм виховання,наближених до сімейних,та забезпечення житлом дітей-сиріт,дітей,позбавлених батьківського піклування, осіб з їх числа</t>
  </si>
  <si>
    <t>Інші субвенції Розсошанській сільській раді</t>
  </si>
  <si>
    <t>Юрій МЕЛЬНИК</t>
  </si>
  <si>
    <t xml:space="preserve">Додаток № 3                                                                                                                                                                  </t>
  </si>
  <si>
    <t xml:space="preserve">від             р. № </t>
  </si>
  <si>
    <t xml:space="preserve">      (грн)</t>
  </si>
  <si>
    <t>( грн)</t>
  </si>
  <si>
    <t>від ____________№______</t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</si>
</sst>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0.0000"/>
    <numFmt numFmtId="187" formatCode="0.0%"/>
    <numFmt numFmtId="188" formatCode="#,##0.0"/>
    <numFmt numFmtId="189" formatCode="0.00000"/>
    <numFmt numFmtId="190" formatCode="#,##0.0000"/>
    <numFmt numFmtId="191" formatCode="#,##0.000"/>
    <numFmt numFmtId="192" formatCode="0.0000000"/>
    <numFmt numFmtId="193" formatCode="0.000000"/>
    <numFmt numFmtId="194" formatCode="0.000%"/>
  </numFmts>
  <fonts count="80">
    <font>
      <sz val="10"/>
      <name val="Arial Cyr"/>
      <family val="0"/>
    </font>
    <font>
      <b/>
      <sz val="8"/>
      <name val="Times New Roman"/>
      <family val="1"/>
    </font>
    <font>
      <sz val="10"/>
      <name val="Times New Roman"/>
      <family val="1"/>
    </font>
    <font>
      <b/>
      <sz val="13.5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9"/>
      <name val="Bookman Old Style"/>
      <family val="1"/>
    </font>
    <font>
      <sz val="7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8"/>
      <color indexed="8"/>
      <name val="Times New Roman"/>
      <family val="1"/>
    </font>
    <font>
      <b/>
      <sz val="12"/>
      <name val="Arial Cyr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9"/>
      <color indexed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name val="Arial Cyr"/>
      <family val="0"/>
    </font>
    <font>
      <b/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sz val="11"/>
      <name val="Times New Roman Cyr"/>
      <family val="1"/>
    </font>
    <font>
      <b/>
      <sz val="11"/>
      <name val="Times New Roman Cyr"/>
      <family val="1"/>
    </font>
    <font>
      <b/>
      <sz val="11"/>
      <color indexed="10"/>
      <name val="Times New Roman Cyr"/>
      <family val="1"/>
    </font>
    <font>
      <sz val="11"/>
      <color indexed="10"/>
      <name val="Times New Roman Cyr"/>
      <family val="1"/>
    </font>
    <font>
      <sz val="14"/>
      <name val="Times New Roman Cyr"/>
      <family val="1"/>
    </font>
    <font>
      <b/>
      <sz val="10"/>
      <name val="Times New Roman Cyr"/>
      <family val="0"/>
    </font>
    <font>
      <b/>
      <sz val="9"/>
      <color indexed="8"/>
      <name val="Times New Roman"/>
      <family val="1"/>
    </font>
    <font>
      <sz val="11"/>
      <color indexed="8"/>
      <name val="Times New Roman"/>
      <family val="1"/>
    </font>
    <font>
      <sz val="9"/>
      <name val="Arial Cyr"/>
      <family val="0"/>
    </font>
    <font>
      <b/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10"/>
      <name val="Arial Cyr"/>
      <family val="0"/>
    </font>
    <font>
      <sz val="10"/>
      <color indexed="8"/>
      <name val="Times New Roman"/>
      <family val="1"/>
    </font>
    <font>
      <sz val="11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medium"/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2" borderId="0" applyNumberFormat="0" applyBorder="0" applyAlignment="0" applyProtection="0"/>
    <xf numFmtId="0" fontId="27" fillId="5" borderId="0" applyNumberFormat="0" applyBorder="0" applyAlignment="0" applyProtection="0"/>
    <xf numFmtId="0" fontId="27" fillId="16" borderId="0" applyNumberFormat="0" applyBorder="0" applyAlignment="0" applyProtection="0"/>
    <xf numFmtId="0" fontId="27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12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17" borderId="0" applyNumberFormat="0" applyBorder="0" applyAlignment="0" applyProtection="0"/>
    <xf numFmtId="0" fontId="28" fillId="12" borderId="0" applyNumberFormat="0" applyBorder="0" applyAlignment="0" applyProtection="0"/>
    <xf numFmtId="0" fontId="28" fillId="21" borderId="0" applyNumberFormat="0" applyBorder="0" applyAlignment="0" applyProtection="0"/>
    <xf numFmtId="0" fontId="28" fillId="25" borderId="0" applyNumberFormat="0" applyBorder="0" applyAlignment="0" applyProtection="0"/>
    <xf numFmtId="0" fontId="28" fillId="23" borderId="0" applyNumberFormat="0" applyBorder="0" applyAlignment="0" applyProtection="0"/>
    <xf numFmtId="0" fontId="41" fillId="0" borderId="0">
      <alignment/>
      <protection/>
    </xf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64" fillId="28" borderId="0" applyNumberFormat="0" applyBorder="0" applyAlignment="0" applyProtection="0"/>
    <xf numFmtId="0" fontId="64" fillId="29" borderId="0" applyNumberFormat="0" applyBorder="0" applyAlignment="0" applyProtection="0"/>
    <xf numFmtId="0" fontId="64" fillId="30" borderId="0" applyNumberFormat="0" applyBorder="0" applyAlignment="0" applyProtection="0"/>
    <xf numFmtId="0" fontId="64" fillId="31" borderId="0" applyNumberFormat="0" applyBorder="0" applyAlignment="0" applyProtection="0"/>
    <xf numFmtId="0" fontId="28" fillId="32" borderId="0" applyNumberFormat="0" applyBorder="0" applyAlignment="0" applyProtection="0"/>
    <xf numFmtId="0" fontId="28" fillId="33" borderId="0" applyNumberFormat="0" applyBorder="0" applyAlignment="0" applyProtection="0"/>
    <xf numFmtId="0" fontId="28" fillId="34" borderId="0" applyNumberFormat="0" applyBorder="0" applyAlignment="0" applyProtection="0"/>
    <xf numFmtId="0" fontId="28" fillId="21" borderId="0" applyNumberFormat="0" applyBorder="0" applyAlignment="0" applyProtection="0"/>
    <xf numFmtId="0" fontId="28" fillId="25" borderId="0" applyNumberFormat="0" applyBorder="0" applyAlignment="0" applyProtection="0"/>
    <xf numFmtId="0" fontId="28" fillId="35" borderId="0" applyNumberFormat="0" applyBorder="0" applyAlignment="0" applyProtection="0"/>
    <xf numFmtId="0" fontId="29" fillId="9" borderId="1" applyNumberFormat="0" applyAlignment="0" applyProtection="0"/>
    <xf numFmtId="0" fontId="65" fillId="36" borderId="2" applyNumberFormat="0" applyAlignment="0" applyProtection="0"/>
    <xf numFmtId="0" fontId="66" fillId="37" borderId="3" applyNumberFormat="0" applyAlignment="0" applyProtection="0"/>
    <xf numFmtId="0" fontId="67" fillId="37" borderId="2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4" borderId="0" applyNumberFormat="0" applyBorder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0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71" fillId="0" borderId="8" applyNumberFormat="0" applyFill="0" applyAlignment="0" applyProtection="0"/>
    <xf numFmtId="0" fontId="33" fillId="38" borderId="9" applyNumberFormat="0" applyAlignment="0" applyProtection="0"/>
    <xf numFmtId="0" fontId="72" fillId="39" borderId="10" applyNumberFormat="0" applyAlignment="0" applyProtection="0"/>
    <xf numFmtId="0" fontId="34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1" fillId="41" borderId="1" applyNumberFormat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32" fillId="0" borderId="11" applyNumberFormat="0" applyFill="0" applyAlignment="0" applyProtection="0"/>
    <xf numFmtId="0" fontId="75" fillId="42" borderId="0" applyNumberFormat="0" applyBorder="0" applyAlignment="0" applyProtection="0"/>
    <xf numFmtId="0" fontId="36" fillId="3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3" borderId="12" applyNumberFormat="0" applyFont="0" applyAlignment="0" applyProtection="0"/>
    <xf numFmtId="0" fontId="0" fillId="44" borderId="13" applyNumberFormat="0" applyFont="0" applyAlignment="0" applyProtection="0"/>
    <xf numFmtId="9" fontId="0" fillId="0" borderId="0" applyFont="0" applyFill="0" applyBorder="0" applyAlignment="0" applyProtection="0"/>
    <xf numFmtId="0" fontId="30" fillId="41" borderId="14" applyNumberFormat="0" applyAlignment="0" applyProtection="0"/>
    <xf numFmtId="0" fontId="77" fillId="0" borderId="15" applyNumberFormat="0" applyFill="0" applyAlignment="0" applyProtection="0"/>
    <xf numFmtId="0" fontId="35" fillId="45" borderId="0" applyNumberFormat="0" applyBorder="0" applyAlignment="0" applyProtection="0"/>
    <xf numFmtId="0" fontId="39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9" fillId="46" borderId="0" applyNumberFormat="0" applyBorder="0" applyAlignment="0" applyProtection="0"/>
  </cellStyleXfs>
  <cellXfs count="443">
    <xf numFmtId="0" fontId="0" fillId="0" borderId="0" xfId="0" applyAlignment="1">
      <alignment/>
    </xf>
    <xf numFmtId="0" fontId="2" fillId="0" borderId="0" xfId="0" applyFont="1" applyAlignment="1">
      <alignment horizontal="justify"/>
    </xf>
    <xf numFmtId="0" fontId="4" fillId="0" borderId="0" xfId="0" applyFont="1" applyAlignment="1">
      <alignment horizontal="justify"/>
    </xf>
    <xf numFmtId="0" fontId="8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left" vertical="top" wrapText="1"/>
    </xf>
    <xf numFmtId="0" fontId="4" fillId="0" borderId="17" xfId="0" applyFont="1" applyBorder="1" applyAlignment="1">
      <alignment vertical="center" wrapText="1"/>
    </xf>
    <xf numFmtId="0" fontId="13" fillId="0" borderId="17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14" fillId="0" borderId="17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6" fillId="0" borderId="17" xfId="0" applyFont="1" applyBorder="1" applyAlignment="1">
      <alignment horizontal="center" wrapText="1"/>
    </xf>
    <xf numFmtId="0" fontId="5" fillId="47" borderId="17" xfId="0" applyFont="1" applyFill="1" applyBorder="1" applyAlignment="1">
      <alignment horizontal="left" vertical="top" wrapText="1"/>
    </xf>
    <xf numFmtId="0" fontId="13" fillId="47" borderId="17" xfId="0" applyFont="1" applyFill="1" applyBorder="1" applyAlignment="1">
      <alignment horizontal="justify" vertical="top" wrapText="1"/>
    </xf>
    <xf numFmtId="0" fontId="13" fillId="47" borderId="17" xfId="0" applyFont="1" applyFill="1" applyBorder="1" applyAlignment="1">
      <alignment horizontal="center" vertical="top" wrapText="1"/>
    </xf>
    <xf numFmtId="0" fontId="5" fillId="47" borderId="17" xfId="0" applyFont="1" applyFill="1" applyBorder="1" applyAlignment="1">
      <alignment horizontal="justify" vertical="top" wrapText="1"/>
    </xf>
    <xf numFmtId="0" fontId="17" fillId="47" borderId="17" xfId="0" applyFont="1" applyFill="1" applyBorder="1" applyAlignment="1">
      <alignment horizontal="justify" vertical="top" wrapText="1"/>
    </xf>
    <xf numFmtId="0" fontId="20" fillId="0" borderId="17" xfId="0" applyFont="1" applyBorder="1" applyAlignment="1">
      <alignment horizontal="center" wrapText="1"/>
    </xf>
    <xf numFmtId="0" fontId="20" fillId="0" borderId="17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5" fillId="0" borderId="17" xfId="0" applyFont="1" applyBorder="1" applyAlignment="1">
      <alignment horizontal="left" wrapText="1"/>
    </xf>
    <xf numFmtId="184" fontId="4" fillId="0" borderId="17" xfId="0" applyNumberFormat="1" applyFont="1" applyBorder="1" applyAlignment="1">
      <alignment horizontal="left" vertical="center" wrapText="1"/>
    </xf>
    <xf numFmtId="0" fontId="24" fillId="0" borderId="0" xfId="0" applyFont="1" applyAlignment="1">
      <alignment/>
    </xf>
    <xf numFmtId="0" fontId="5" fillId="0" borderId="17" xfId="0" applyFont="1" applyBorder="1" applyAlignment="1">
      <alignment horizontal="center" wrapText="1"/>
    </xf>
    <xf numFmtId="0" fontId="5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0" borderId="0" xfId="0" applyAlignment="1">
      <alignment horizontal="center"/>
    </xf>
    <xf numFmtId="0" fontId="42" fillId="0" borderId="0" xfId="0" applyFont="1" applyAlignment="1">
      <alignment/>
    </xf>
    <xf numFmtId="0" fontId="42" fillId="0" borderId="0" xfId="0" applyFont="1" applyAlignment="1">
      <alignment horizontal="center" vertical="center"/>
    </xf>
    <xf numFmtId="0" fontId="44" fillId="0" borderId="0" xfId="0" applyFont="1" applyAlignment="1">
      <alignment/>
    </xf>
    <xf numFmtId="0" fontId="44" fillId="0" borderId="0" xfId="0" applyFont="1" applyAlignment="1">
      <alignment horizontal="center" vertical="center" wrapText="1"/>
    </xf>
    <xf numFmtId="0" fontId="45" fillId="0" borderId="18" xfId="0" applyFont="1" applyBorder="1" applyAlignment="1">
      <alignment/>
    </xf>
    <xf numFmtId="0" fontId="45" fillId="0" borderId="19" xfId="0" applyFont="1" applyBorder="1" applyAlignment="1">
      <alignment/>
    </xf>
    <xf numFmtId="184" fontId="44" fillId="0" borderId="0" xfId="0" applyNumberFormat="1" applyFont="1" applyFill="1" applyBorder="1" applyAlignment="1">
      <alignment/>
    </xf>
    <xf numFmtId="0" fontId="45" fillId="0" borderId="0" xfId="0" applyFont="1" applyAlignment="1">
      <alignment/>
    </xf>
    <xf numFmtId="9" fontId="44" fillId="0" borderId="0" xfId="92" applyFont="1" applyFill="1" applyBorder="1" applyAlignment="1">
      <alignment/>
    </xf>
    <xf numFmtId="0" fontId="45" fillId="48" borderId="17" xfId="0" applyFont="1" applyFill="1" applyBorder="1" applyAlignment="1" applyProtection="1">
      <alignment/>
      <protection locked="0"/>
    </xf>
    <xf numFmtId="184" fontId="45" fillId="48" borderId="17" xfId="0" applyNumberFormat="1" applyFont="1" applyFill="1" applyBorder="1" applyAlignment="1" applyProtection="1">
      <alignment/>
      <protection locked="0"/>
    </xf>
    <xf numFmtId="184" fontId="45" fillId="12" borderId="17" xfId="0" applyNumberFormat="1" applyFont="1" applyFill="1" applyBorder="1" applyAlignment="1" applyProtection="1">
      <alignment/>
      <protection locked="0"/>
    </xf>
    <xf numFmtId="184" fontId="46" fillId="0" borderId="0" xfId="0" applyNumberFormat="1" applyFont="1" applyAlignment="1">
      <alignment/>
    </xf>
    <xf numFmtId="0" fontId="46" fillId="0" borderId="0" xfId="0" applyFont="1" applyAlignment="1">
      <alignment/>
    </xf>
    <xf numFmtId="184" fontId="47" fillId="0" borderId="0" xfId="0" applyNumberFormat="1" applyFont="1" applyAlignment="1">
      <alignment/>
    </xf>
    <xf numFmtId="0" fontId="23" fillId="0" borderId="0" xfId="0" applyFont="1" applyAlignment="1">
      <alignment/>
    </xf>
    <xf numFmtId="0" fontId="45" fillId="47" borderId="0" xfId="0" applyFont="1" applyFill="1" applyBorder="1" applyAlignment="1">
      <alignment horizontal="center"/>
    </xf>
    <xf numFmtId="184" fontId="26" fillId="47" borderId="17" xfId="0" applyNumberFormat="1" applyFont="1" applyFill="1" applyBorder="1" applyAlignment="1" applyProtection="1">
      <alignment vertical="center"/>
      <protection locked="0"/>
    </xf>
    <xf numFmtId="184" fontId="44" fillId="47" borderId="17" xfId="0" applyNumberFormat="1" applyFont="1" applyFill="1" applyBorder="1" applyAlignment="1">
      <alignment/>
    </xf>
    <xf numFmtId="0" fontId="8" fillId="0" borderId="20" xfId="0" applyFont="1" applyBorder="1" applyAlignment="1">
      <alignment horizontal="center" vertical="top" wrapText="1"/>
    </xf>
    <xf numFmtId="184" fontId="48" fillId="47" borderId="17" xfId="0" applyNumberFormat="1" applyFont="1" applyFill="1" applyBorder="1" applyAlignment="1">
      <alignment horizontal="center"/>
    </xf>
    <xf numFmtId="49" fontId="49" fillId="0" borderId="17" xfId="0" applyNumberFormat="1" applyFont="1" applyBorder="1" applyAlignment="1">
      <alignment horizontal="center" vertical="center" wrapText="1"/>
    </xf>
    <xf numFmtId="1" fontId="23" fillId="47" borderId="17" xfId="0" applyNumberFormat="1" applyFont="1" applyFill="1" applyBorder="1" applyAlignment="1">
      <alignment horizontal="center"/>
    </xf>
    <xf numFmtId="1" fontId="23" fillId="47" borderId="17" xfId="92" applyNumberFormat="1" applyFont="1" applyFill="1" applyBorder="1" applyAlignment="1">
      <alignment horizontal="center"/>
    </xf>
    <xf numFmtId="1" fontId="43" fillId="47" borderId="17" xfId="0" applyNumberFormat="1" applyFont="1" applyFill="1" applyBorder="1" applyAlignment="1">
      <alignment horizontal="center"/>
    </xf>
    <xf numFmtId="0" fontId="26" fillId="0" borderId="17" xfId="0" applyFont="1" applyBorder="1" applyAlignment="1" applyProtection="1">
      <alignment vertical="center"/>
      <protection locked="0"/>
    </xf>
    <xf numFmtId="0" fontId="26" fillId="0" borderId="17" xfId="84" applyFont="1" applyFill="1" applyBorder="1" applyAlignment="1" applyProtection="1">
      <alignment horizontal="left"/>
      <protection/>
    </xf>
    <xf numFmtId="0" fontId="45" fillId="0" borderId="17" xfId="0" applyFont="1" applyBorder="1" applyAlignment="1">
      <alignment horizontal="centerContinuous" wrapText="1"/>
    </xf>
    <xf numFmtId="0" fontId="44" fillId="0" borderId="17" xfId="0" applyFont="1" applyBorder="1" applyAlignment="1">
      <alignment horizontal="centerContinuous" vertical="center" wrapText="1"/>
    </xf>
    <xf numFmtId="0" fontId="42" fillId="0" borderId="17" xfId="0" applyFont="1" applyBorder="1" applyAlignment="1">
      <alignment/>
    </xf>
    <xf numFmtId="0" fontId="26" fillId="0" borderId="17" xfId="0" applyFont="1" applyBorder="1" applyAlignment="1">
      <alignment/>
    </xf>
    <xf numFmtId="0" fontId="45" fillId="0" borderId="17" xfId="0" applyFont="1" applyBorder="1" applyAlignment="1">
      <alignment/>
    </xf>
    <xf numFmtId="0" fontId="42" fillId="0" borderId="0" xfId="0" applyFont="1" applyBorder="1" applyAlignment="1">
      <alignment horizontal="center" vertical="center"/>
    </xf>
    <xf numFmtId="0" fontId="26" fillId="0" borderId="21" xfId="0" applyFont="1" applyBorder="1" applyAlignment="1" applyProtection="1">
      <alignment vertical="center"/>
      <protection locked="0"/>
    </xf>
    <xf numFmtId="0" fontId="26" fillId="0" borderId="22" xfId="84" applyFont="1" applyFill="1" applyBorder="1" applyAlignment="1" applyProtection="1">
      <alignment horizontal="left"/>
      <protection/>
    </xf>
    <xf numFmtId="184" fontId="44" fillId="47" borderId="22" xfId="0" applyNumberFormat="1" applyFont="1" applyFill="1" applyBorder="1" applyAlignment="1">
      <alignment/>
    </xf>
    <xf numFmtId="184" fontId="26" fillId="47" borderId="22" xfId="0" applyNumberFormat="1" applyFont="1" applyFill="1" applyBorder="1" applyAlignment="1" applyProtection="1">
      <alignment vertical="center"/>
      <protection locked="0"/>
    </xf>
    <xf numFmtId="1" fontId="23" fillId="47" borderId="22" xfId="0" applyNumberFormat="1" applyFont="1" applyFill="1" applyBorder="1" applyAlignment="1">
      <alignment horizontal="center"/>
    </xf>
    <xf numFmtId="1" fontId="23" fillId="47" borderId="22" xfId="92" applyNumberFormat="1" applyFont="1" applyFill="1" applyBorder="1" applyAlignment="1">
      <alignment horizontal="center"/>
    </xf>
    <xf numFmtId="0" fontId="26" fillId="0" borderId="23" xfId="84" applyFont="1" applyFill="1" applyBorder="1" applyAlignment="1" applyProtection="1">
      <alignment horizontal="left"/>
      <protection/>
    </xf>
    <xf numFmtId="184" fontId="44" fillId="47" borderId="23" xfId="0" applyNumberFormat="1" applyFont="1" applyFill="1" applyBorder="1" applyAlignment="1">
      <alignment/>
    </xf>
    <xf numFmtId="184" fontId="26" fillId="47" borderId="23" xfId="0" applyNumberFormat="1" applyFont="1" applyFill="1" applyBorder="1" applyAlignment="1" applyProtection="1">
      <alignment vertical="center"/>
      <protection locked="0"/>
    </xf>
    <xf numFmtId="1" fontId="23" fillId="47" borderId="23" xfId="0" applyNumberFormat="1" applyFont="1" applyFill="1" applyBorder="1" applyAlignment="1">
      <alignment horizontal="center"/>
    </xf>
    <xf numFmtId="1" fontId="23" fillId="47" borderId="23" xfId="92" applyNumberFormat="1" applyFont="1" applyFill="1" applyBorder="1" applyAlignment="1">
      <alignment horizontal="center"/>
    </xf>
    <xf numFmtId="0" fontId="4" fillId="47" borderId="17" xfId="0" applyFont="1" applyFill="1" applyBorder="1" applyAlignment="1">
      <alignment vertical="center" wrapText="1"/>
    </xf>
    <xf numFmtId="0" fontId="0" fillId="47" borderId="0" xfId="0" applyFill="1" applyAlignment="1">
      <alignment/>
    </xf>
    <xf numFmtId="0" fontId="1" fillId="0" borderId="0" xfId="0" applyFont="1" applyFill="1" applyBorder="1" applyAlignment="1">
      <alignment horizontal="center" vertical="center"/>
    </xf>
    <xf numFmtId="0" fontId="0" fillId="49" borderId="0" xfId="0" applyFill="1" applyAlignment="1">
      <alignment/>
    </xf>
    <xf numFmtId="0" fontId="4" fillId="45" borderId="17" xfId="0" applyFont="1" applyFill="1" applyBorder="1" applyAlignment="1">
      <alignment vertical="top" wrapText="1"/>
    </xf>
    <xf numFmtId="0" fontId="0" fillId="45" borderId="0" xfId="0" applyFill="1" applyAlignment="1">
      <alignment/>
    </xf>
    <xf numFmtId="0" fontId="4" fillId="45" borderId="17" xfId="0" applyFont="1" applyFill="1" applyBorder="1" applyAlignment="1">
      <alignment vertical="center" wrapText="1"/>
    </xf>
    <xf numFmtId="0" fontId="18" fillId="0" borderId="17" xfId="0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 quotePrefix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 wrapText="1"/>
    </xf>
    <xf numFmtId="0" fontId="4" fillId="0" borderId="17" xfId="0" applyFont="1" applyBorder="1" applyAlignment="1" quotePrefix="1">
      <alignment horizontal="center" vertical="center"/>
    </xf>
    <xf numFmtId="0" fontId="1" fillId="0" borderId="17" xfId="0" applyFont="1" applyBorder="1" applyAlignment="1" quotePrefix="1">
      <alignment horizontal="center" vertical="center"/>
    </xf>
    <xf numFmtId="0" fontId="13" fillId="0" borderId="17" xfId="0" applyFont="1" applyBorder="1" applyAlignment="1" quotePrefix="1">
      <alignment horizontal="center" vertical="center"/>
    </xf>
    <xf numFmtId="49" fontId="13" fillId="0" borderId="17" xfId="0" applyNumberFormat="1" applyFont="1" applyBorder="1" applyAlignment="1" quotePrefix="1">
      <alignment horizontal="center" vertical="center"/>
    </xf>
    <xf numFmtId="0" fontId="4" fillId="47" borderId="17" xfId="0" applyFont="1" applyFill="1" applyBorder="1" applyAlignment="1">
      <alignment vertical="top" wrapText="1"/>
    </xf>
    <xf numFmtId="0" fontId="1" fillId="47" borderId="17" xfId="0" applyFont="1" applyFill="1" applyBorder="1" applyAlignment="1" quotePrefix="1">
      <alignment horizontal="center" vertical="center"/>
    </xf>
    <xf numFmtId="0" fontId="4" fillId="47" borderId="17" xfId="0" applyFont="1" applyFill="1" applyBorder="1" applyAlignment="1">
      <alignment horizontal="left" vertical="top" wrapText="1"/>
    </xf>
    <xf numFmtId="0" fontId="6" fillId="47" borderId="17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23" fillId="0" borderId="17" xfId="0" applyFont="1" applyBorder="1" applyAlignment="1">
      <alignment/>
    </xf>
    <xf numFmtId="49" fontId="1" fillId="47" borderId="17" xfId="0" applyNumberFormat="1" applyFont="1" applyFill="1" applyBorder="1" applyAlignment="1" quotePrefix="1">
      <alignment horizontal="center" vertical="center"/>
    </xf>
    <xf numFmtId="49" fontId="1" fillId="47" borderId="17" xfId="0" applyNumberFormat="1" applyFont="1" applyFill="1" applyBorder="1" applyAlignment="1">
      <alignment horizontal="center" vertical="center"/>
    </xf>
    <xf numFmtId="49" fontId="0" fillId="0" borderId="21" xfId="0" applyNumberForma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" fillId="47" borderId="21" xfId="0" applyNumberFormat="1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 horizontal="center"/>
    </xf>
    <xf numFmtId="49" fontId="1" fillId="45" borderId="21" xfId="0" applyNumberFormat="1" applyFont="1" applyFill="1" applyBorder="1" applyAlignment="1">
      <alignment horizontal="center"/>
    </xf>
    <xf numFmtId="49" fontId="1" fillId="49" borderId="21" xfId="0" applyNumberFormat="1" applyFont="1" applyFill="1" applyBorder="1" applyAlignment="1">
      <alignment horizontal="center"/>
    </xf>
    <xf numFmtId="0" fontId="8" fillId="0" borderId="17" xfId="0" applyFont="1" applyBorder="1" applyAlignment="1">
      <alignment horizontal="center" vertical="top" wrapText="1"/>
    </xf>
    <xf numFmtId="49" fontId="1" fillId="45" borderId="17" xfId="0" applyNumberFormat="1" applyFont="1" applyFill="1" applyBorder="1" applyAlignment="1">
      <alignment horizontal="center" vertical="center" wrapText="1"/>
    </xf>
    <xf numFmtId="49" fontId="1" fillId="49" borderId="17" xfId="0" applyNumberFormat="1" applyFont="1" applyFill="1" applyBorder="1" applyAlignment="1">
      <alignment horizontal="center" vertical="center" wrapText="1"/>
    </xf>
    <xf numFmtId="49" fontId="1" fillId="47" borderId="17" xfId="0" applyNumberFormat="1" applyFont="1" applyFill="1" applyBorder="1" applyAlignment="1">
      <alignment horizontal="center" vertical="center" wrapText="1"/>
    </xf>
    <xf numFmtId="49" fontId="4" fillId="45" borderId="17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Border="1" applyAlignment="1" quotePrefix="1">
      <alignment horizontal="center" vertical="center"/>
    </xf>
    <xf numFmtId="0" fontId="1" fillId="45" borderId="17" xfId="0" applyFont="1" applyFill="1" applyBorder="1" applyAlignment="1" quotePrefix="1">
      <alignment horizontal="center" vertical="center"/>
    </xf>
    <xf numFmtId="49" fontId="1" fillId="45" borderId="17" xfId="0" applyNumberFormat="1" applyFont="1" applyFill="1" applyBorder="1" applyAlignment="1">
      <alignment horizontal="center" vertical="center"/>
    </xf>
    <xf numFmtId="49" fontId="4" fillId="47" borderId="17" xfId="0" applyNumberFormat="1" applyFont="1" applyFill="1" applyBorder="1" applyAlignment="1" quotePrefix="1">
      <alignment horizontal="center" vertical="center"/>
    </xf>
    <xf numFmtId="0" fontId="14" fillId="47" borderId="17" xfId="0" applyFont="1" applyFill="1" applyBorder="1" applyAlignment="1">
      <alignment wrapText="1"/>
    </xf>
    <xf numFmtId="0" fontId="0" fillId="0" borderId="0" xfId="0" applyBorder="1" applyAlignment="1">
      <alignment/>
    </xf>
    <xf numFmtId="0" fontId="6" fillId="0" borderId="17" xfId="0" applyFont="1" applyBorder="1" applyAlignment="1">
      <alignment vertical="top" wrapText="1"/>
    </xf>
    <xf numFmtId="0" fontId="6" fillId="0" borderId="17" xfId="0" applyFont="1" applyBorder="1" applyAlignment="1">
      <alignment vertical="center" wrapText="1"/>
    </xf>
    <xf numFmtId="0" fontId="18" fillId="0" borderId="23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47" borderId="17" xfId="0" applyFont="1" applyFill="1" applyBorder="1" applyAlignment="1">
      <alignment horizontal="center" vertical="center" wrapText="1"/>
    </xf>
    <xf numFmtId="49" fontId="20" fillId="0" borderId="17" xfId="0" applyNumberFormat="1" applyFont="1" applyBorder="1" applyAlignment="1">
      <alignment horizontal="center" vertical="center" wrapText="1"/>
    </xf>
    <xf numFmtId="0" fontId="20" fillId="47" borderId="17" xfId="0" applyFont="1" applyFill="1" applyBorder="1" applyAlignment="1">
      <alignment horizontal="center" vertical="top" wrapText="1"/>
    </xf>
    <xf numFmtId="0" fontId="6" fillId="0" borderId="17" xfId="0" applyFont="1" applyBorder="1" applyAlignment="1">
      <alignment horizontal="left" vertical="top" wrapText="1"/>
    </xf>
    <xf numFmtId="49" fontId="20" fillId="47" borderId="17" xfId="0" applyNumberFormat="1" applyFont="1" applyFill="1" applyBorder="1" applyAlignment="1">
      <alignment horizontal="center" vertical="center" wrapText="1"/>
    </xf>
    <xf numFmtId="0" fontId="6" fillId="47" borderId="17" xfId="0" applyFont="1" applyFill="1" applyBorder="1" applyAlignment="1">
      <alignment vertical="top" wrapText="1"/>
    </xf>
    <xf numFmtId="0" fontId="6" fillId="45" borderId="17" xfId="0" applyFont="1" applyFill="1" applyBorder="1" applyAlignment="1">
      <alignment vertical="top" wrapText="1"/>
    </xf>
    <xf numFmtId="0" fontId="20" fillId="0" borderId="17" xfId="0" applyFont="1" applyFill="1" applyBorder="1" applyAlignment="1">
      <alignment horizontal="center" vertical="top" wrapText="1"/>
    </xf>
    <xf numFmtId="0" fontId="6" fillId="47" borderId="17" xfId="0" applyFont="1" applyFill="1" applyBorder="1" applyAlignment="1">
      <alignment vertical="center" wrapText="1"/>
    </xf>
    <xf numFmtId="0" fontId="20" fillId="0" borderId="17" xfId="0" applyFont="1" applyBorder="1" applyAlignment="1">
      <alignment vertical="center" wrapText="1"/>
    </xf>
    <xf numFmtId="0" fontId="6" fillId="47" borderId="17" xfId="0" applyFont="1" applyFill="1" applyBorder="1" applyAlignment="1">
      <alignment horizontal="left" vertical="top" wrapText="1"/>
    </xf>
    <xf numFmtId="49" fontId="20" fillId="47" borderId="17" xfId="0" applyNumberFormat="1" applyFont="1" applyFill="1" applyBorder="1" applyAlignment="1">
      <alignment horizontal="center" vertical="center"/>
    </xf>
    <xf numFmtId="49" fontId="20" fillId="0" borderId="17" xfId="0" applyNumberFormat="1" applyFont="1" applyBorder="1" applyAlignment="1">
      <alignment horizontal="center" vertical="center"/>
    </xf>
    <xf numFmtId="0" fontId="6" fillId="49" borderId="17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vertical="center" wrapText="1"/>
    </xf>
    <xf numFmtId="0" fontId="20" fillId="0" borderId="17" xfId="0" applyFont="1" applyBorder="1" applyAlignment="1" quotePrefix="1">
      <alignment horizontal="center" vertical="center"/>
    </xf>
    <xf numFmtId="49" fontId="20" fillId="49" borderId="17" xfId="0" applyNumberFormat="1" applyFont="1" applyFill="1" applyBorder="1" applyAlignment="1" quotePrefix="1">
      <alignment horizontal="center" vertical="center"/>
    </xf>
    <xf numFmtId="0" fontId="20" fillId="49" borderId="17" xfId="0" applyFont="1" applyFill="1" applyBorder="1" applyAlignment="1" quotePrefix="1">
      <alignment horizontal="center" vertical="center"/>
    </xf>
    <xf numFmtId="49" fontId="20" fillId="0" borderId="17" xfId="0" applyNumberFormat="1" applyFont="1" applyBorder="1" applyAlignment="1" quotePrefix="1">
      <alignment horizontal="center" vertical="center"/>
    </xf>
    <xf numFmtId="0" fontId="20" fillId="47" borderId="17" xfId="0" applyFont="1" applyFill="1" applyBorder="1" applyAlignment="1" quotePrefix="1">
      <alignment horizontal="center" vertical="center"/>
    </xf>
    <xf numFmtId="49" fontId="20" fillId="47" borderId="24" xfId="0" applyNumberFormat="1" applyFont="1" applyFill="1" applyBorder="1" applyAlignment="1">
      <alignment horizontal="center" vertical="center"/>
    </xf>
    <xf numFmtId="0" fontId="6" fillId="0" borderId="17" xfId="0" applyFont="1" applyBorder="1" applyAlignment="1" quotePrefix="1">
      <alignment horizontal="center" vertical="center"/>
    </xf>
    <xf numFmtId="49" fontId="6" fillId="0" borderId="17" xfId="0" applyNumberFormat="1" applyFont="1" applyBorder="1" applyAlignment="1" quotePrefix="1">
      <alignment horizontal="center" vertical="center"/>
    </xf>
    <xf numFmtId="0" fontId="50" fillId="0" borderId="25" xfId="0" applyFont="1" applyBorder="1" applyAlignment="1">
      <alignment horizontal="center" vertical="center" wrapText="1"/>
    </xf>
    <xf numFmtId="0" fontId="50" fillId="0" borderId="23" xfId="0" applyFont="1" applyBorder="1" applyAlignment="1">
      <alignment horizontal="center" vertical="center" wrapText="1"/>
    </xf>
    <xf numFmtId="0" fontId="52" fillId="0" borderId="0" xfId="0" applyFont="1" applyAlignment="1">
      <alignment/>
    </xf>
    <xf numFmtId="0" fontId="18" fillId="0" borderId="24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8" fillId="47" borderId="17" xfId="0" applyFont="1" applyFill="1" applyBorder="1" applyAlignment="1">
      <alignment horizontal="center" vertical="center" wrapText="1"/>
    </xf>
    <xf numFmtId="0" fontId="18" fillId="45" borderId="24" xfId="0" applyFont="1" applyFill="1" applyBorder="1" applyAlignment="1">
      <alignment horizontal="center" vertical="center" wrapText="1"/>
    </xf>
    <xf numFmtId="0" fontId="18" fillId="45" borderId="17" xfId="0" applyFont="1" applyFill="1" applyBorder="1" applyAlignment="1">
      <alignment horizontal="center" vertical="center" wrapText="1"/>
    </xf>
    <xf numFmtId="0" fontId="18" fillId="45" borderId="23" xfId="0" applyFont="1" applyFill="1" applyBorder="1" applyAlignment="1">
      <alignment horizontal="center" vertical="center" wrapText="1"/>
    </xf>
    <xf numFmtId="0" fontId="50" fillId="45" borderId="23" xfId="0" applyFont="1" applyFill="1" applyBorder="1" applyAlignment="1">
      <alignment horizontal="center" vertical="center" wrapText="1"/>
    </xf>
    <xf numFmtId="0" fontId="52" fillId="45" borderId="0" xfId="0" applyFont="1" applyFill="1" applyAlignment="1">
      <alignment/>
    </xf>
    <xf numFmtId="0" fontId="50" fillId="0" borderId="24" xfId="0" applyFont="1" applyFill="1" applyBorder="1" applyAlignment="1">
      <alignment horizontal="center" vertical="center" wrapText="1"/>
    </xf>
    <xf numFmtId="0" fontId="50" fillId="0" borderId="17" xfId="0" applyFont="1" applyFill="1" applyBorder="1" applyAlignment="1">
      <alignment horizontal="center" vertical="center" wrapText="1"/>
    </xf>
    <xf numFmtId="0" fontId="18" fillId="47" borderId="24" xfId="0" applyFont="1" applyFill="1" applyBorder="1" applyAlignment="1">
      <alignment horizontal="center" vertical="center" wrapText="1"/>
    </xf>
    <xf numFmtId="0" fontId="18" fillId="47" borderId="23" xfId="0" applyFont="1" applyFill="1" applyBorder="1" applyAlignment="1">
      <alignment horizontal="center" vertical="center" wrapText="1"/>
    </xf>
    <xf numFmtId="0" fontId="50" fillId="47" borderId="23" xfId="0" applyFont="1" applyFill="1" applyBorder="1" applyAlignment="1">
      <alignment horizontal="center" vertical="center" wrapText="1"/>
    </xf>
    <xf numFmtId="0" fontId="52" fillId="47" borderId="0" xfId="0" applyFont="1" applyFill="1" applyAlignment="1">
      <alignment/>
    </xf>
    <xf numFmtId="0" fontId="50" fillId="47" borderId="24" xfId="0" applyFont="1" applyFill="1" applyBorder="1" applyAlignment="1">
      <alignment horizontal="center" vertical="center" wrapText="1"/>
    </xf>
    <xf numFmtId="0" fontId="50" fillId="47" borderId="17" xfId="0" applyFont="1" applyFill="1" applyBorder="1" applyAlignment="1">
      <alignment horizontal="center" vertical="center" wrapText="1"/>
    </xf>
    <xf numFmtId="0" fontId="52" fillId="0" borderId="0" xfId="0" applyFont="1" applyFill="1" applyAlignment="1">
      <alignment/>
    </xf>
    <xf numFmtId="0" fontId="50" fillId="0" borderId="17" xfId="0" applyFont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2" fontId="50" fillId="0" borderId="24" xfId="0" applyNumberFormat="1" applyFont="1" applyFill="1" applyBorder="1" applyAlignment="1">
      <alignment horizontal="center" vertical="center" wrapText="1"/>
    </xf>
    <xf numFmtId="2" fontId="50" fillId="0" borderId="17" xfId="0" applyNumberFormat="1" applyFont="1" applyFill="1" applyBorder="1" applyAlignment="1">
      <alignment horizontal="center" vertical="center" wrapText="1"/>
    </xf>
    <xf numFmtId="1" fontId="50" fillId="0" borderId="24" xfId="0" applyNumberFormat="1" applyFont="1" applyFill="1" applyBorder="1" applyAlignment="1">
      <alignment horizontal="center" vertical="center" wrapText="1"/>
    </xf>
    <xf numFmtId="1" fontId="50" fillId="0" borderId="17" xfId="0" applyNumberFormat="1" applyFont="1" applyFill="1" applyBorder="1" applyAlignment="1">
      <alignment horizontal="center" vertical="center" wrapText="1"/>
    </xf>
    <xf numFmtId="1" fontId="50" fillId="47" borderId="24" xfId="0" applyNumberFormat="1" applyFont="1" applyFill="1" applyBorder="1" applyAlignment="1">
      <alignment horizontal="center" vertical="center" wrapText="1"/>
    </xf>
    <xf numFmtId="1" fontId="50" fillId="47" borderId="17" xfId="0" applyNumberFormat="1" applyFont="1" applyFill="1" applyBorder="1" applyAlignment="1">
      <alignment horizontal="center" vertical="center" wrapText="1"/>
    </xf>
    <xf numFmtId="1" fontId="18" fillId="0" borderId="17" xfId="0" applyNumberFormat="1" applyFont="1" applyFill="1" applyBorder="1" applyAlignment="1">
      <alignment horizontal="center" vertical="center"/>
    </xf>
    <xf numFmtId="1" fontId="18" fillId="0" borderId="17" xfId="0" applyNumberFormat="1" applyFont="1" applyBorder="1" applyAlignment="1">
      <alignment horizontal="center" vertical="center"/>
    </xf>
    <xf numFmtId="1" fontId="50" fillId="0" borderId="17" xfId="0" applyNumberFormat="1" applyFont="1" applyBorder="1" applyAlignment="1">
      <alignment horizontal="center" vertical="center" wrapText="1"/>
    </xf>
    <xf numFmtId="1" fontId="18" fillId="0" borderId="17" xfId="0" applyNumberFormat="1" applyFont="1" applyFill="1" applyBorder="1" applyAlignment="1">
      <alignment horizontal="center" vertical="center" wrapText="1"/>
    </xf>
    <xf numFmtId="1" fontId="18" fillId="0" borderId="17" xfId="0" applyNumberFormat="1" applyFont="1" applyBorder="1" applyAlignment="1">
      <alignment horizontal="center" vertical="center" wrapText="1"/>
    </xf>
    <xf numFmtId="1" fontId="18" fillId="49" borderId="17" xfId="0" applyNumberFormat="1" applyFont="1" applyFill="1" applyBorder="1" applyAlignment="1">
      <alignment horizontal="center" vertical="center" wrapText="1"/>
    </xf>
    <xf numFmtId="1" fontId="18" fillId="49" borderId="17" xfId="0" applyNumberFormat="1" applyFont="1" applyFill="1" applyBorder="1" applyAlignment="1">
      <alignment horizontal="center" vertical="center"/>
    </xf>
    <xf numFmtId="1" fontId="50" fillId="49" borderId="17" xfId="0" applyNumberFormat="1" applyFont="1" applyFill="1" applyBorder="1" applyAlignment="1">
      <alignment horizontal="center" vertical="center" wrapText="1"/>
    </xf>
    <xf numFmtId="0" fontId="52" fillId="49" borderId="0" xfId="0" applyFont="1" applyFill="1" applyAlignment="1">
      <alignment/>
    </xf>
    <xf numFmtId="1" fontId="18" fillId="47" borderId="17" xfId="0" applyNumberFormat="1" applyFont="1" applyFill="1" applyBorder="1" applyAlignment="1">
      <alignment horizontal="center" vertical="center" wrapText="1"/>
    </xf>
    <xf numFmtId="1" fontId="18" fillId="47" borderId="17" xfId="0" applyNumberFormat="1" applyFont="1" applyFill="1" applyBorder="1" applyAlignment="1">
      <alignment horizontal="center" vertical="center"/>
    </xf>
    <xf numFmtId="0" fontId="50" fillId="0" borderId="24" xfId="0" applyFont="1" applyFill="1" applyBorder="1" applyAlignment="1">
      <alignment horizontal="center" vertical="center"/>
    </xf>
    <xf numFmtId="0" fontId="50" fillId="0" borderId="17" xfId="0" applyFont="1" applyFill="1" applyBorder="1" applyAlignment="1">
      <alignment horizontal="center" vertical="center"/>
    </xf>
    <xf numFmtId="0" fontId="18" fillId="47" borderId="24" xfId="0" applyFont="1" applyFill="1" applyBorder="1" applyAlignment="1">
      <alignment horizontal="center" vertical="center"/>
    </xf>
    <xf numFmtId="0" fontId="18" fillId="0" borderId="24" xfId="0" applyFont="1" applyBorder="1" applyAlignment="1">
      <alignment horizontal="center" vertical="center" wrapText="1"/>
    </xf>
    <xf numFmtId="0" fontId="50" fillId="0" borderId="24" xfId="0" applyFont="1" applyBorder="1" applyAlignment="1">
      <alignment horizontal="center" vertical="center" wrapText="1"/>
    </xf>
    <xf numFmtId="0" fontId="50" fillId="45" borderId="17" xfId="0" applyFont="1" applyFill="1" applyBorder="1" applyAlignment="1">
      <alignment horizontal="center" vertical="center" wrapText="1"/>
    </xf>
    <xf numFmtId="2" fontId="18" fillId="45" borderId="17" xfId="0" applyNumberFormat="1" applyFont="1" applyFill="1" applyBorder="1" applyAlignment="1">
      <alignment horizontal="center" vertical="center" wrapText="1"/>
    </xf>
    <xf numFmtId="0" fontId="18" fillId="47" borderId="17" xfId="0" applyFont="1" applyFill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50" fillId="0" borderId="24" xfId="0" applyFont="1" applyBorder="1" applyAlignment="1">
      <alignment horizontal="center" vertical="center"/>
    </xf>
    <xf numFmtId="0" fontId="6" fillId="47" borderId="17" xfId="0" applyFont="1" applyFill="1" applyBorder="1" applyAlignment="1">
      <alignment horizontal="left" vertical="center" wrapText="1"/>
    </xf>
    <xf numFmtId="2" fontId="16" fillId="47" borderId="24" xfId="0" applyNumberFormat="1" applyFont="1" applyFill="1" applyBorder="1" applyAlignment="1">
      <alignment horizontal="center" vertical="center"/>
    </xf>
    <xf numFmtId="49" fontId="13" fillId="47" borderId="17" xfId="0" applyNumberFormat="1" applyFont="1" applyFill="1" applyBorder="1" applyAlignment="1">
      <alignment horizontal="center" vertical="center" wrapText="1"/>
    </xf>
    <xf numFmtId="0" fontId="53" fillId="0" borderId="0" xfId="0" applyFont="1" applyAlignment="1">
      <alignment horizontal="right"/>
    </xf>
    <xf numFmtId="0" fontId="54" fillId="0" borderId="0" xfId="0" applyFont="1" applyAlignment="1">
      <alignment horizontal="center"/>
    </xf>
    <xf numFmtId="0" fontId="55" fillId="0" borderId="0" xfId="0" applyFont="1" applyAlignment="1">
      <alignment/>
    </xf>
    <xf numFmtId="0" fontId="4" fillId="0" borderId="17" xfId="0" applyFont="1" applyBorder="1" applyAlignment="1">
      <alignment horizontal="center" vertical="top" wrapText="1"/>
    </xf>
    <xf numFmtId="0" fontId="14" fillId="0" borderId="17" xfId="0" applyFont="1" applyBorder="1" applyAlignment="1">
      <alignment horizontal="center" vertical="top" wrapText="1"/>
    </xf>
    <xf numFmtId="0" fontId="17" fillId="0" borderId="17" xfId="0" applyFont="1" applyFill="1" applyBorder="1" applyAlignment="1">
      <alignment horizontal="center" vertical="center" wrapText="1"/>
    </xf>
    <xf numFmtId="2" fontId="17" fillId="0" borderId="17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vertical="center" wrapText="1"/>
    </xf>
    <xf numFmtId="2" fontId="2" fillId="0" borderId="17" xfId="0" applyNumberFormat="1" applyFont="1" applyBorder="1" applyAlignment="1">
      <alignment horizontal="center" vertical="top" wrapText="1"/>
    </xf>
    <xf numFmtId="2" fontId="2" fillId="0" borderId="17" xfId="0" applyNumberFormat="1" applyFont="1" applyFill="1" applyBorder="1" applyAlignment="1">
      <alignment horizontal="center" vertical="center" wrapText="1"/>
    </xf>
    <xf numFmtId="2" fontId="17" fillId="0" borderId="17" xfId="0" applyNumberFormat="1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56" fillId="0" borderId="17" xfId="0" applyFont="1" applyFill="1" applyBorder="1" applyAlignment="1">
      <alignment horizontal="left" vertical="center" wrapText="1"/>
    </xf>
    <xf numFmtId="49" fontId="1" fillId="0" borderId="26" xfId="0" applyNumberFormat="1" applyFont="1" applyBorder="1" applyAlignment="1">
      <alignment horizontal="center" vertical="center"/>
    </xf>
    <xf numFmtId="0" fontId="56" fillId="47" borderId="17" xfId="0" applyFont="1" applyFill="1" applyBorder="1" applyAlignment="1">
      <alignment horizontal="left" vertical="center" wrapText="1"/>
    </xf>
    <xf numFmtId="0" fontId="13" fillId="0" borderId="17" xfId="0" applyFont="1" applyBorder="1" applyAlignment="1">
      <alignment vertical="top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 wrapText="1"/>
    </xf>
    <xf numFmtId="49" fontId="12" fillId="0" borderId="17" xfId="0" applyNumberFormat="1" applyFont="1" applyBorder="1" applyAlignment="1">
      <alignment horizontal="center" vertical="center"/>
    </xf>
    <xf numFmtId="0" fontId="14" fillId="0" borderId="17" xfId="0" applyFont="1" applyBorder="1" applyAlignment="1">
      <alignment wrapText="1"/>
    </xf>
    <xf numFmtId="0" fontId="4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center" wrapText="1"/>
    </xf>
    <xf numFmtId="0" fontId="6" fillId="0" borderId="22" xfId="0" applyFont="1" applyBorder="1" applyAlignment="1">
      <alignment vertical="center" wrapText="1"/>
    </xf>
    <xf numFmtId="49" fontId="1" fillId="0" borderId="17" xfId="0" applyNumberFormat="1" applyFont="1" applyBorder="1" applyAlignment="1" quotePrefix="1">
      <alignment vertical="center"/>
    </xf>
    <xf numFmtId="0" fontId="13" fillId="0" borderId="23" xfId="0" applyFont="1" applyBorder="1" applyAlignment="1" quotePrefix="1">
      <alignment horizontal="center" vertical="center"/>
    </xf>
    <xf numFmtId="49" fontId="13" fillId="0" borderId="23" xfId="0" applyNumberFormat="1" applyFont="1" applyBorder="1" applyAlignment="1" quotePrefix="1">
      <alignment horizontal="center" vertical="center"/>
    </xf>
    <xf numFmtId="0" fontId="1" fillId="0" borderId="23" xfId="0" applyFont="1" applyBorder="1" applyAlignment="1" quotePrefix="1">
      <alignment horizontal="center" vertical="center"/>
    </xf>
    <xf numFmtId="49" fontId="1" fillId="0" borderId="23" xfId="0" applyNumberFormat="1" applyFont="1" applyBorder="1" applyAlignment="1" quotePrefix="1">
      <alignment horizontal="center" vertical="center"/>
    </xf>
    <xf numFmtId="0" fontId="6" fillId="0" borderId="23" xfId="0" applyFont="1" applyBorder="1" applyAlignment="1">
      <alignment horizontal="center" vertical="top" wrapText="1"/>
    </xf>
    <xf numFmtId="49" fontId="20" fillId="45" borderId="17" xfId="0" applyNumberFormat="1" applyFont="1" applyFill="1" applyBorder="1" applyAlignment="1">
      <alignment horizontal="center" vertical="center" wrapText="1"/>
    </xf>
    <xf numFmtId="2" fontId="18" fillId="0" borderId="17" xfId="0" applyNumberFormat="1" applyFont="1" applyBorder="1" applyAlignment="1">
      <alignment horizontal="center" vertical="center" wrapText="1"/>
    </xf>
    <xf numFmtId="49" fontId="20" fillId="0" borderId="27" xfId="0" applyNumberFormat="1" applyFont="1" applyBorder="1" applyAlignment="1">
      <alignment horizontal="center" vertical="top" wrapText="1"/>
    </xf>
    <xf numFmtId="49" fontId="1" fillId="0" borderId="28" xfId="0" applyNumberFormat="1" applyFont="1" applyBorder="1" applyAlignment="1">
      <alignment horizontal="center" vertical="center" wrapText="1"/>
    </xf>
    <xf numFmtId="49" fontId="1" fillId="0" borderId="25" xfId="0" applyNumberFormat="1" applyFont="1" applyBorder="1" applyAlignment="1">
      <alignment horizontal="center" vertical="center" wrapText="1"/>
    </xf>
    <xf numFmtId="2" fontId="50" fillId="47" borderId="24" xfId="0" applyNumberFormat="1" applyFont="1" applyFill="1" applyBorder="1" applyAlignment="1">
      <alignment horizontal="center" vertical="center" wrapText="1"/>
    </xf>
    <xf numFmtId="2" fontId="18" fillId="47" borderId="17" xfId="0" applyNumberFormat="1" applyFont="1" applyFill="1" applyBorder="1" applyAlignment="1">
      <alignment horizontal="center" vertical="center" wrapText="1"/>
    </xf>
    <xf numFmtId="49" fontId="20" fillId="47" borderId="17" xfId="0" applyNumberFormat="1" applyFont="1" applyFill="1" applyBorder="1" applyAlignment="1" quotePrefix="1">
      <alignment horizontal="center" vertical="center"/>
    </xf>
    <xf numFmtId="0" fontId="5" fillId="47" borderId="17" xfId="0" applyFont="1" applyFill="1" applyBorder="1" applyAlignment="1">
      <alignment horizontal="center" wrapText="1"/>
    </xf>
    <xf numFmtId="49" fontId="1" fillId="0" borderId="22" xfId="0" applyNumberFormat="1" applyFont="1" applyBorder="1" applyAlignment="1">
      <alignment horizontal="center" vertical="center"/>
    </xf>
    <xf numFmtId="0" fontId="1" fillId="0" borderId="22" xfId="0" applyFont="1" applyBorder="1" applyAlignment="1" quotePrefix="1">
      <alignment horizontal="center" vertical="center"/>
    </xf>
    <xf numFmtId="0" fontId="56" fillId="0" borderId="22" xfId="0" applyFont="1" applyFill="1" applyBorder="1" applyAlignment="1">
      <alignment horizontal="left" vertical="center" wrapText="1"/>
    </xf>
    <xf numFmtId="0" fontId="6" fillId="0" borderId="22" xfId="0" applyFont="1" applyBorder="1" applyAlignment="1">
      <alignment horizontal="center" wrapText="1"/>
    </xf>
    <xf numFmtId="49" fontId="1" fillId="47" borderId="29" xfId="0" applyNumberFormat="1" applyFont="1" applyFill="1" applyBorder="1" applyAlignment="1">
      <alignment horizontal="center" vertical="center" wrapText="1"/>
    </xf>
    <xf numFmtId="49" fontId="1" fillId="47" borderId="30" xfId="0" applyNumberFormat="1" applyFont="1" applyFill="1" applyBorder="1" applyAlignment="1">
      <alignment horizontal="center" vertical="center" wrapText="1"/>
    </xf>
    <xf numFmtId="0" fontId="6" fillId="47" borderId="30" xfId="0" applyFont="1" applyFill="1" applyBorder="1" applyAlignment="1">
      <alignment vertical="top" wrapText="1"/>
    </xf>
    <xf numFmtId="0" fontId="56" fillId="0" borderId="30" xfId="0" applyFont="1" applyFill="1" applyBorder="1" applyAlignment="1">
      <alignment horizontal="left" vertical="center" wrapText="1"/>
    </xf>
    <xf numFmtId="0" fontId="6" fillId="0" borderId="30" xfId="0" applyFont="1" applyBorder="1" applyAlignment="1">
      <alignment horizontal="center" wrapText="1"/>
    </xf>
    <xf numFmtId="0" fontId="20" fillId="0" borderId="31" xfId="0" applyFont="1" applyBorder="1" applyAlignment="1">
      <alignment horizontal="center" wrapText="1"/>
    </xf>
    <xf numFmtId="49" fontId="20" fillId="0" borderId="32" xfId="0" applyNumberFormat="1" applyFont="1" applyBorder="1" applyAlignment="1">
      <alignment horizontal="center" wrapText="1"/>
    </xf>
    <xf numFmtId="0" fontId="20" fillId="0" borderId="32" xfId="0" applyFont="1" applyBorder="1" applyAlignment="1">
      <alignment horizontal="center" wrapText="1"/>
    </xf>
    <xf numFmtId="0" fontId="6" fillId="0" borderId="32" xfId="0" applyFont="1" applyBorder="1" applyAlignment="1">
      <alignment horizontal="center" wrapText="1"/>
    </xf>
    <xf numFmtId="2" fontId="18" fillId="0" borderId="23" xfId="0" applyNumberFormat="1" applyFont="1" applyBorder="1" applyAlignment="1">
      <alignment horizontal="center" vertical="center" wrapText="1"/>
    </xf>
    <xf numFmtId="2" fontId="50" fillId="47" borderId="17" xfId="0" applyNumberFormat="1" applyFont="1" applyFill="1" applyBorder="1" applyAlignment="1">
      <alignment horizontal="center" vertical="center" wrapText="1"/>
    </xf>
    <xf numFmtId="2" fontId="50" fillId="0" borderId="17" xfId="0" applyNumberFormat="1" applyFont="1" applyBorder="1" applyAlignment="1">
      <alignment horizontal="center" vertical="center" wrapText="1"/>
    </xf>
    <xf numFmtId="0" fontId="50" fillId="45" borderId="24" xfId="0" applyFont="1" applyFill="1" applyBorder="1" applyAlignment="1">
      <alignment horizontal="center" vertical="center" wrapText="1"/>
    </xf>
    <xf numFmtId="1" fontId="50" fillId="0" borderId="24" xfId="0" applyNumberFormat="1" applyFont="1" applyFill="1" applyBorder="1" applyAlignment="1">
      <alignment horizontal="center" vertical="center"/>
    </xf>
    <xf numFmtId="1" fontId="50" fillId="47" borderId="24" xfId="0" applyNumberFormat="1" applyFont="1" applyFill="1" applyBorder="1" applyAlignment="1">
      <alignment horizontal="center" vertical="center"/>
    </xf>
    <xf numFmtId="1" fontId="50" fillId="49" borderId="24" xfId="0" applyNumberFormat="1" applyFont="1" applyFill="1" applyBorder="1" applyAlignment="1">
      <alignment horizontal="center" vertical="center"/>
    </xf>
    <xf numFmtId="0" fontId="50" fillId="47" borderId="24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left" vertical="center" wrapText="1"/>
    </xf>
    <xf numFmtId="0" fontId="0" fillId="47" borderId="17" xfId="0" applyFill="1" applyBorder="1" applyAlignment="1">
      <alignment/>
    </xf>
    <xf numFmtId="0" fontId="0" fillId="49" borderId="17" xfId="0" applyFill="1" applyBorder="1" applyAlignment="1">
      <alignment/>
    </xf>
    <xf numFmtId="0" fontId="20" fillId="0" borderId="24" xfId="0" applyFont="1" applyBorder="1" applyAlignment="1">
      <alignment horizontal="center" vertical="top" wrapText="1"/>
    </xf>
    <xf numFmtId="0" fontId="13" fillId="47" borderId="24" xfId="0" applyFont="1" applyFill="1" applyBorder="1" applyAlignment="1">
      <alignment horizontal="center" vertical="top" wrapText="1"/>
    </xf>
    <xf numFmtId="0" fontId="5" fillId="47" borderId="24" xfId="0" applyFont="1" applyFill="1" applyBorder="1" applyAlignment="1">
      <alignment vertical="center" wrapText="1"/>
    </xf>
    <xf numFmtId="0" fontId="5" fillId="0" borderId="24" xfId="0" applyFont="1" applyBorder="1" applyAlignment="1">
      <alignment vertical="center" wrapText="1"/>
    </xf>
    <xf numFmtId="0" fontId="5" fillId="0" borderId="24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top" wrapText="1"/>
    </xf>
    <xf numFmtId="0" fontId="13" fillId="0" borderId="24" xfId="0" applyFont="1" applyBorder="1" applyAlignment="1">
      <alignment horizontal="center" vertical="top" wrapText="1"/>
    </xf>
    <xf numFmtId="0" fontId="13" fillId="0" borderId="24" xfId="0" applyFont="1" applyBorder="1" applyAlignment="1">
      <alignment horizontal="center" vertical="center" wrapText="1"/>
    </xf>
    <xf numFmtId="0" fontId="5" fillId="47" borderId="24" xfId="0" applyFont="1" applyFill="1" applyBorder="1" applyAlignment="1">
      <alignment horizontal="left" vertical="top" wrapText="1"/>
    </xf>
    <xf numFmtId="0" fontId="51" fillId="0" borderId="24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wrapText="1"/>
    </xf>
    <xf numFmtId="0" fontId="18" fillId="0" borderId="33" xfId="0" applyFont="1" applyBorder="1" applyAlignment="1">
      <alignment horizontal="center" vertical="top" wrapText="1"/>
    </xf>
    <xf numFmtId="0" fontId="6" fillId="0" borderId="34" xfId="0" applyFont="1" applyBorder="1" applyAlignment="1">
      <alignment horizontal="center" wrapText="1"/>
    </xf>
    <xf numFmtId="0" fontId="20" fillId="0" borderId="34" xfId="0" applyFont="1" applyBorder="1" applyAlignment="1">
      <alignment horizontal="center" wrapText="1"/>
    </xf>
    <xf numFmtId="49" fontId="21" fillId="0" borderId="34" xfId="0" applyNumberFormat="1" applyFont="1" applyBorder="1" applyAlignment="1">
      <alignment horizontal="center" vertical="center"/>
    </xf>
    <xf numFmtId="0" fontId="5" fillId="47" borderId="34" xfId="0" applyFont="1" applyFill="1" applyBorder="1" applyAlignment="1">
      <alignment horizontal="center" vertical="center" wrapText="1"/>
    </xf>
    <xf numFmtId="49" fontId="13" fillId="47" borderId="34" xfId="0" applyNumberFormat="1" applyFont="1" applyFill="1" applyBorder="1" applyAlignment="1">
      <alignment horizontal="center" vertical="center" wrapText="1"/>
    </xf>
    <xf numFmtId="49" fontId="13" fillId="0" borderId="34" xfId="0" applyNumberFormat="1" applyFont="1" applyBorder="1" applyAlignment="1">
      <alignment horizontal="center" vertical="center" wrapText="1"/>
    </xf>
    <xf numFmtId="0" fontId="13" fillId="47" borderId="34" xfId="0" applyFont="1" applyFill="1" applyBorder="1" applyAlignment="1" quotePrefix="1">
      <alignment horizontal="center" vertical="center"/>
    </xf>
    <xf numFmtId="0" fontId="13" fillId="0" borderId="34" xfId="0" applyFont="1" applyBorder="1" applyAlignment="1" quotePrefix="1">
      <alignment horizontal="center" vertical="center"/>
    </xf>
    <xf numFmtId="49" fontId="13" fillId="0" borderId="34" xfId="0" applyNumberFormat="1" applyFont="1" applyBorder="1" applyAlignment="1">
      <alignment horizontal="center" vertical="center"/>
    </xf>
    <xf numFmtId="49" fontId="13" fillId="47" borderId="34" xfId="0" applyNumberFormat="1" applyFont="1" applyFill="1" applyBorder="1" applyAlignment="1">
      <alignment horizontal="center" vertical="center"/>
    </xf>
    <xf numFmtId="49" fontId="5" fillId="0" borderId="34" xfId="0" applyNumberFormat="1" applyFont="1" applyBorder="1" applyAlignment="1">
      <alignment horizontal="center" vertical="center" wrapText="1"/>
    </xf>
    <xf numFmtId="49" fontId="22" fillId="0" borderId="34" xfId="0" applyNumberFormat="1" applyFont="1" applyBorder="1" applyAlignment="1">
      <alignment horizontal="center" vertical="center"/>
    </xf>
    <xf numFmtId="49" fontId="5" fillId="47" borderId="34" xfId="0" applyNumberFormat="1" applyFont="1" applyFill="1" applyBorder="1" applyAlignment="1">
      <alignment horizontal="center" vertical="center" wrapText="1"/>
    </xf>
    <xf numFmtId="0" fontId="6" fillId="0" borderId="35" xfId="0" applyFont="1" applyBorder="1" applyAlignment="1">
      <alignment horizontal="center" wrapText="1"/>
    </xf>
    <xf numFmtId="0" fontId="0" fillId="0" borderId="24" xfId="0" applyBorder="1" applyAlignment="1">
      <alignment/>
    </xf>
    <xf numFmtId="0" fontId="18" fillId="0" borderId="25" xfId="0" applyFont="1" applyBorder="1" applyAlignment="1">
      <alignment wrapText="1"/>
    </xf>
    <xf numFmtId="0" fontId="20" fillId="0" borderId="23" xfId="0" applyFont="1" applyBorder="1" applyAlignment="1">
      <alignment horizontal="center" wrapText="1"/>
    </xf>
    <xf numFmtId="0" fontId="6" fillId="0" borderId="36" xfId="0" applyFont="1" applyBorder="1" applyAlignment="1">
      <alignment horizontal="center" wrapText="1"/>
    </xf>
    <xf numFmtId="0" fontId="11" fillId="0" borderId="37" xfId="0" applyFont="1" applyBorder="1" applyAlignment="1">
      <alignment horizontal="center" wrapText="1"/>
    </xf>
    <xf numFmtId="0" fontId="26" fillId="47" borderId="24" xfId="0" applyFont="1" applyFill="1" applyBorder="1" applyAlignment="1">
      <alignment vertical="center" wrapText="1"/>
    </xf>
    <xf numFmtId="0" fontId="26" fillId="47" borderId="17" xfId="0" applyFont="1" applyFill="1" applyBorder="1" applyAlignment="1">
      <alignment horizontal="left" vertical="top" wrapText="1"/>
    </xf>
    <xf numFmtId="0" fontId="26" fillId="0" borderId="17" xfId="0" applyFont="1" applyBorder="1" applyAlignment="1">
      <alignment vertical="top" wrapText="1"/>
    </xf>
    <xf numFmtId="0" fontId="26" fillId="0" borderId="24" xfId="0" applyFont="1" applyBorder="1" applyAlignment="1">
      <alignment vertical="top" wrapText="1"/>
    </xf>
    <xf numFmtId="0" fontId="26" fillId="47" borderId="24" xfId="0" applyFont="1" applyFill="1" applyBorder="1" applyAlignment="1">
      <alignment horizontal="left" vertical="center" wrapText="1"/>
    </xf>
    <xf numFmtId="0" fontId="26" fillId="47" borderId="17" xfId="0" applyFont="1" applyFill="1" applyBorder="1" applyAlignment="1">
      <alignment horizontal="justify" vertical="top" wrapText="1"/>
    </xf>
    <xf numFmtId="0" fontId="26" fillId="0" borderId="24" xfId="0" applyFont="1" applyBorder="1" applyAlignment="1">
      <alignment horizontal="left" vertical="top" wrapText="1"/>
    </xf>
    <xf numFmtId="0" fontId="26" fillId="0" borderId="24" xfId="0" applyFont="1" applyBorder="1" applyAlignment="1">
      <alignment vertical="center" wrapText="1"/>
    </xf>
    <xf numFmtId="0" fontId="26" fillId="0" borderId="24" xfId="0" applyFont="1" applyBorder="1" applyAlignment="1">
      <alignment horizontal="left" vertical="center" wrapText="1"/>
    </xf>
    <xf numFmtId="49" fontId="13" fillId="47" borderId="21" xfId="0" applyNumberFormat="1" applyFont="1" applyFill="1" applyBorder="1" applyAlignment="1">
      <alignment vertical="center" wrapText="1"/>
    </xf>
    <xf numFmtId="49" fontId="13" fillId="47" borderId="38" xfId="0" applyNumberFormat="1" applyFont="1" applyFill="1" applyBorder="1" applyAlignment="1">
      <alignment vertical="center" wrapText="1"/>
    </xf>
    <xf numFmtId="49" fontId="13" fillId="47" borderId="24" xfId="0" applyNumberFormat="1" applyFont="1" applyFill="1" applyBorder="1" applyAlignment="1">
      <alignment vertical="center" wrapText="1"/>
    </xf>
    <xf numFmtId="0" fontId="26" fillId="0" borderId="17" xfId="0" applyFont="1" applyBorder="1" applyAlignment="1">
      <alignment vertical="center" wrapText="1"/>
    </xf>
    <xf numFmtId="49" fontId="13" fillId="0" borderId="17" xfId="0" applyNumberFormat="1" applyFont="1" applyBorder="1" applyAlignment="1">
      <alignment horizontal="center" vertical="center" wrapText="1"/>
    </xf>
    <xf numFmtId="49" fontId="13" fillId="0" borderId="24" xfId="0" applyNumberFormat="1" applyFont="1" applyBorder="1" applyAlignment="1">
      <alignment horizontal="center" vertical="center" wrapText="1"/>
    </xf>
    <xf numFmtId="49" fontId="13" fillId="0" borderId="22" xfId="0" applyNumberFormat="1" applyFont="1" applyBorder="1" applyAlignment="1">
      <alignment horizontal="center" vertical="center" wrapText="1"/>
    </xf>
    <xf numFmtId="49" fontId="13" fillId="0" borderId="23" xfId="0" applyNumberFormat="1" applyFont="1" applyBorder="1" applyAlignment="1">
      <alignment horizontal="center" vertical="center" wrapText="1"/>
    </xf>
    <xf numFmtId="49" fontId="13" fillId="0" borderId="17" xfId="0" applyNumberFormat="1" applyFont="1" applyBorder="1" applyAlignment="1">
      <alignment horizontal="center" vertical="center"/>
    </xf>
    <xf numFmtId="49" fontId="13" fillId="0" borderId="17" xfId="0" applyNumberFormat="1" applyFont="1" applyBorder="1" applyAlignment="1" quotePrefix="1">
      <alignment horizontal="center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49" fontId="13" fillId="0" borderId="22" xfId="0" applyNumberFormat="1" applyFont="1" applyBorder="1" applyAlignment="1">
      <alignment vertical="center" wrapText="1"/>
    </xf>
    <xf numFmtId="49" fontId="13" fillId="0" borderId="26" xfId="0" applyNumberFormat="1" applyFont="1" applyBorder="1" applyAlignment="1">
      <alignment vertical="center" wrapText="1"/>
    </xf>
    <xf numFmtId="49" fontId="13" fillId="0" borderId="26" xfId="0" applyNumberFormat="1" applyFont="1" applyBorder="1" applyAlignment="1">
      <alignment horizontal="center" vertical="center" wrapText="1"/>
    </xf>
    <xf numFmtId="49" fontId="13" fillId="0" borderId="23" xfId="0" applyNumberFormat="1" applyFont="1" applyBorder="1" applyAlignment="1">
      <alignment vertical="center" wrapText="1"/>
    </xf>
    <xf numFmtId="49" fontId="5" fillId="0" borderId="23" xfId="0" applyNumberFormat="1" applyFont="1" applyBorder="1" applyAlignment="1">
      <alignment horizontal="center" vertical="center" wrapText="1"/>
    </xf>
    <xf numFmtId="49" fontId="5" fillId="0" borderId="26" xfId="0" applyNumberFormat="1" applyFont="1" applyBorder="1" applyAlignment="1">
      <alignment horizontal="center" vertical="center" wrapText="1"/>
    </xf>
    <xf numFmtId="49" fontId="13" fillId="47" borderId="17" xfId="0" applyNumberFormat="1" applyFont="1" applyFill="1" applyBorder="1" applyAlignment="1">
      <alignment horizontal="center" vertical="center"/>
    </xf>
    <xf numFmtId="2" fontId="13" fillId="0" borderId="17" xfId="0" applyNumberFormat="1" applyFont="1" applyBorder="1" applyAlignment="1">
      <alignment horizontal="center" wrapText="1"/>
    </xf>
    <xf numFmtId="1" fontId="5" fillId="0" borderId="17" xfId="0" applyNumberFormat="1" applyFont="1" applyBorder="1" applyAlignment="1">
      <alignment horizontal="center" wrapText="1"/>
    </xf>
    <xf numFmtId="0" fontId="13" fillId="0" borderId="17" xfId="0" applyFont="1" applyBorder="1" applyAlignment="1">
      <alignment horizontal="center" wrapText="1"/>
    </xf>
    <xf numFmtId="2" fontId="5" fillId="0" borderId="17" xfId="0" applyNumberFormat="1" applyFont="1" applyBorder="1" applyAlignment="1">
      <alignment horizontal="center" wrapText="1"/>
    </xf>
    <xf numFmtId="0" fontId="51" fillId="0" borderId="17" xfId="0" applyFont="1" applyBorder="1" applyAlignment="1">
      <alignment horizontal="center" vertical="center" wrapText="1"/>
    </xf>
    <xf numFmtId="1" fontId="13" fillId="0" borderId="17" xfId="0" applyNumberFormat="1" applyFont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0" fontId="5" fillId="0" borderId="39" xfId="0" applyFont="1" applyBorder="1" applyAlignment="1">
      <alignment horizontal="center" wrapText="1"/>
    </xf>
    <xf numFmtId="2" fontId="13" fillId="0" borderId="40" xfId="0" applyNumberFormat="1" applyFont="1" applyBorder="1" applyAlignment="1">
      <alignment horizontal="center" wrapText="1"/>
    </xf>
    <xf numFmtId="0" fontId="51" fillId="0" borderId="17" xfId="0" applyFont="1" applyFill="1" applyBorder="1" applyAlignment="1">
      <alignment horizontal="left" vertical="center" wrapText="1"/>
    </xf>
    <xf numFmtId="0" fontId="51" fillId="47" borderId="17" xfId="0" applyFont="1" applyFill="1" applyBorder="1" applyAlignment="1">
      <alignment horizontal="left" vertical="center" wrapText="1"/>
    </xf>
    <xf numFmtId="0" fontId="5" fillId="0" borderId="17" xfId="0" applyFont="1" applyBorder="1" applyAlignment="1">
      <alignment horizontal="left" wrapText="1"/>
    </xf>
    <xf numFmtId="0" fontId="5" fillId="47" borderId="17" xfId="0" applyFont="1" applyFill="1" applyBorder="1" applyAlignment="1">
      <alignment vertical="top" wrapText="1"/>
    </xf>
    <xf numFmtId="0" fontId="5" fillId="0" borderId="17" xfId="0" applyFont="1" applyBorder="1" applyAlignment="1">
      <alignment vertical="top" wrapText="1"/>
    </xf>
    <xf numFmtId="0" fontId="5" fillId="0" borderId="17" xfId="0" applyFont="1" applyBorder="1" applyAlignment="1">
      <alignment vertical="center" wrapText="1"/>
    </xf>
    <xf numFmtId="0" fontId="5" fillId="0" borderId="22" xfId="0" applyFont="1" applyBorder="1" applyAlignment="1">
      <alignment vertical="center" wrapText="1"/>
    </xf>
    <xf numFmtId="0" fontId="5" fillId="0" borderId="26" xfId="0" applyFont="1" applyBorder="1" applyAlignment="1">
      <alignment vertical="center" wrapText="1"/>
    </xf>
    <xf numFmtId="0" fontId="5" fillId="0" borderId="23" xfId="0" applyFont="1" applyBorder="1" applyAlignment="1">
      <alignment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47" borderId="17" xfId="0" applyFont="1" applyFill="1" applyBorder="1" applyAlignment="1">
      <alignment vertical="center" wrapText="1"/>
    </xf>
    <xf numFmtId="0" fontId="51" fillId="47" borderId="17" xfId="0" applyFont="1" applyFill="1" applyBorder="1" applyAlignment="1">
      <alignment horizontal="left" vertical="center" wrapText="1"/>
    </xf>
    <xf numFmtId="0" fontId="26" fillId="0" borderId="17" xfId="0" applyFont="1" applyBorder="1" applyAlignment="1">
      <alignment horizontal="left" vertical="top" wrapText="1"/>
    </xf>
    <xf numFmtId="0" fontId="26" fillId="47" borderId="17" xfId="0" applyFont="1" applyFill="1" applyBorder="1" applyAlignment="1">
      <alignment vertical="top" wrapText="1"/>
    </xf>
    <xf numFmtId="0" fontId="26" fillId="47" borderId="24" xfId="0" applyFont="1" applyFill="1" applyBorder="1" applyAlignment="1">
      <alignment horizontal="left" vertical="top" wrapText="1"/>
    </xf>
    <xf numFmtId="0" fontId="5" fillId="0" borderId="22" xfId="0" applyFont="1" applyBorder="1" applyAlignment="1">
      <alignment vertical="top" wrapText="1"/>
    </xf>
    <xf numFmtId="2" fontId="50" fillId="0" borderId="24" xfId="0" applyNumberFormat="1" applyFont="1" applyFill="1" applyBorder="1" applyAlignment="1">
      <alignment horizontal="center" vertical="center"/>
    </xf>
    <xf numFmtId="2" fontId="18" fillId="0" borderId="17" xfId="0" applyNumberFormat="1" applyFont="1" applyFill="1" applyBorder="1" applyAlignment="1">
      <alignment horizontal="center" vertical="center"/>
    </xf>
    <xf numFmtId="2" fontId="18" fillId="0" borderId="17" xfId="0" applyNumberFormat="1" applyFont="1" applyFill="1" applyBorder="1" applyAlignment="1">
      <alignment horizontal="center" vertical="center" wrapText="1"/>
    </xf>
    <xf numFmtId="0" fontId="51" fillId="47" borderId="17" xfId="0" applyFont="1" applyFill="1" applyBorder="1" applyAlignment="1">
      <alignment horizontal="center" vertical="center" wrapText="1"/>
    </xf>
    <xf numFmtId="0" fontId="20" fillId="47" borderId="17" xfId="0" applyFont="1" applyFill="1" applyBorder="1" applyAlignment="1">
      <alignment vertical="center" wrapText="1"/>
    </xf>
    <xf numFmtId="49" fontId="13" fillId="0" borderId="23" xfId="0" applyNumberFormat="1" applyFont="1" applyBorder="1" applyAlignment="1">
      <alignment horizontal="center" vertical="center"/>
    </xf>
    <xf numFmtId="0" fontId="13" fillId="0" borderId="17" xfId="0" applyFont="1" applyBorder="1" applyAlignment="1" quotePrefix="1">
      <alignment horizontal="center" vertical="center"/>
    </xf>
    <xf numFmtId="0" fontId="6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49" fontId="13" fillId="0" borderId="17" xfId="0" applyNumberFormat="1" applyFont="1" applyBorder="1" applyAlignment="1">
      <alignment horizontal="center" vertical="center" wrapText="1"/>
    </xf>
    <xf numFmtId="49" fontId="13" fillId="0" borderId="21" xfId="0" applyNumberFormat="1" applyFont="1" applyBorder="1" applyAlignment="1">
      <alignment horizontal="center" vertical="center" wrapText="1"/>
    </xf>
    <xf numFmtId="49" fontId="13" fillId="0" borderId="38" xfId="0" applyNumberFormat="1" applyFont="1" applyBorder="1" applyAlignment="1">
      <alignment horizontal="center" vertical="center" wrapText="1"/>
    </xf>
    <xf numFmtId="49" fontId="13" fillId="0" borderId="24" xfId="0" applyNumberFormat="1" applyFont="1" applyBorder="1" applyAlignment="1">
      <alignment horizontal="center" vertical="center" wrapText="1"/>
    </xf>
    <xf numFmtId="49" fontId="13" fillId="47" borderId="17" xfId="0" applyNumberFormat="1" applyFont="1" applyFill="1" applyBorder="1" applyAlignment="1">
      <alignment horizontal="center" vertical="center" wrapText="1"/>
    </xf>
    <xf numFmtId="49" fontId="20" fillId="47" borderId="21" xfId="0" applyNumberFormat="1" applyFont="1" applyFill="1" applyBorder="1" applyAlignment="1">
      <alignment horizontal="center" vertical="center" wrapText="1"/>
    </xf>
    <xf numFmtId="49" fontId="20" fillId="47" borderId="38" xfId="0" applyNumberFormat="1" applyFont="1" applyFill="1" applyBorder="1" applyAlignment="1">
      <alignment horizontal="center" vertical="center" wrapText="1"/>
    </xf>
    <xf numFmtId="49" fontId="20" fillId="47" borderId="24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5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6" fillId="0" borderId="44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15" fillId="47" borderId="17" xfId="0" applyFont="1" applyFill="1" applyBorder="1" applyAlignment="1">
      <alignment horizontal="center"/>
    </xf>
    <xf numFmtId="49" fontId="13" fillId="47" borderId="21" xfId="0" applyNumberFormat="1" applyFont="1" applyFill="1" applyBorder="1" applyAlignment="1">
      <alignment horizontal="center" vertical="center" wrapText="1"/>
    </xf>
    <xf numFmtId="49" fontId="13" fillId="47" borderId="38" xfId="0" applyNumberFormat="1" applyFont="1" applyFill="1" applyBorder="1" applyAlignment="1">
      <alignment horizontal="center" vertical="center" wrapText="1"/>
    </xf>
    <xf numFmtId="49" fontId="13" fillId="47" borderId="24" xfId="0" applyNumberFormat="1" applyFont="1" applyFill="1" applyBorder="1" applyAlignment="1">
      <alignment horizontal="center" vertical="center" wrapText="1"/>
    </xf>
    <xf numFmtId="49" fontId="13" fillId="47" borderId="21" xfId="0" applyNumberFormat="1" applyFont="1" applyFill="1" applyBorder="1" applyAlignment="1">
      <alignment horizontal="center" vertical="center"/>
    </xf>
    <xf numFmtId="49" fontId="13" fillId="47" borderId="38" xfId="0" applyNumberFormat="1" applyFont="1" applyFill="1" applyBorder="1" applyAlignment="1" quotePrefix="1">
      <alignment horizontal="center" vertical="center"/>
    </xf>
    <xf numFmtId="49" fontId="13" fillId="47" borderId="24" xfId="0" applyNumberFormat="1" applyFont="1" applyFill="1" applyBorder="1" applyAlignment="1" quotePrefix="1">
      <alignment horizontal="center" vertical="center"/>
    </xf>
    <xf numFmtId="49" fontId="13" fillId="0" borderId="21" xfId="0" applyNumberFormat="1" applyFont="1" applyBorder="1" applyAlignment="1">
      <alignment horizontal="center" vertical="center"/>
    </xf>
    <xf numFmtId="49" fontId="13" fillId="0" borderId="38" xfId="0" applyNumberFormat="1" applyFont="1" applyBorder="1" applyAlignment="1">
      <alignment horizontal="center" vertical="center"/>
    </xf>
    <xf numFmtId="49" fontId="13" fillId="0" borderId="24" xfId="0" applyNumberFormat="1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0" fontId="7" fillId="0" borderId="41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49" fontId="13" fillId="47" borderId="38" xfId="0" applyNumberFormat="1" applyFont="1" applyFill="1" applyBorder="1" applyAlignment="1">
      <alignment horizontal="center" vertical="center"/>
    </xf>
    <xf numFmtId="49" fontId="13" fillId="47" borderId="24" xfId="0" applyNumberFormat="1" applyFont="1" applyFill="1" applyBorder="1" applyAlignment="1">
      <alignment horizontal="center" vertical="center"/>
    </xf>
    <xf numFmtId="0" fontId="43" fillId="47" borderId="0" xfId="0" applyFont="1" applyFill="1" applyBorder="1" applyAlignment="1">
      <alignment horizontal="center" vertical="center" wrapText="1"/>
    </xf>
    <xf numFmtId="0" fontId="45" fillId="0" borderId="21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44" fillId="45" borderId="52" xfId="0" applyFont="1" applyFill="1" applyBorder="1" applyAlignment="1">
      <alignment horizontal="center" vertical="center"/>
    </xf>
    <xf numFmtId="0" fontId="44" fillId="45" borderId="53" xfId="0" applyFont="1" applyFill="1" applyBorder="1" applyAlignment="1">
      <alignment horizontal="center" vertical="center"/>
    </xf>
    <xf numFmtId="0" fontId="45" fillId="0" borderId="17" xfId="0" applyFont="1" applyBorder="1" applyAlignment="1">
      <alignment horizontal="center" vertical="center" wrapText="1"/>
    </xf>
    <xf numFmtId="0" fontId="45" fillId="0" borderId="22" xfId="0" applyFont="1" applyBorder="1" applyAlignment="1">
      <alignment horizontal="center" vertical="center" wrapText="1"/>
    </xf>
    <xf numFmtId="0" fontId="45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56" fillId="0" borderId="0" xfId="0" applyFont="1" applyAlignment="1">
      <alignment horizontal="left"/>
    </xf>
    <xf numFmtId="0" fontId="11" fillId="0" borderId="54" xfId="0" applyFont="1" applyBorder="1" applyAlignment="1">
      <alignment horizontal="center" wrapText="1"/>
    </xf>
    <xf numFmtId="0" fontId="19" fillId="0" borderId="0" xfId="0" applyFont="1" applyAlignment="1">
      <alignment horizontal="center"/>
    </xf>
    <xf numFmtId="0" fontId="5" fillId="47" borderId="34" xfId="0" applyFont="1" applyFill="1" applyBorder="1" applyAlignment="1">
      <alignment horizontal="center" vertical="center" wrapText="1"/>
    </xf>
    <xf numFmtId="0" fontId="5" fillId="47" borderId="24" xfId="0" applyFont="1" applyFill="1" applyBorder="1" applyAlignment="1">
      <alignment horizontal="center" vertical="center" wrapText="1"/>
    </xf>
    <xf numFmtId="0" fontId="50" fillId="0" borderId="22" xfId="0" applyFont="1" applyBorder="1" applyAlignment="1">
      <alignment horizontal="center" vertical="top" wrapText="1"/>
    </xf>
    <xf numFmtId="0" fontId="50" fillId="0" borderId="23" xfId="0" applyFont="1" applyBorder="1" applyAlignment="1">
      <alignment horizontal="center" vertical="top" wrapText="1"/>
    </xf>
    <xf numFmtId="0" fontId="50" fillId="0" borderId="26" xfId="0" applyFont="1" applyBorder="1" applyAlignment="1">
      <alignment horizontal="center" vertical="top" wrapText="1"/>
    </xf>
    <xf numFmtId="0" fontId="50" fillId="0" borderId="17" xfId="0" applyFont="1" applyBorder="1" applyAlignment="1">
      <alignment horizontal="center" vertical="top" wrapText="1"/>
    </xf>
    <xf numFmtId="0" fontId="24" fillId="0" borderId="0" xfId="0" applyFont="1" applyFill="1" applyBorder="1" applyAlignment="1">
      <alignment horizontal="left" vertical="center"/>
    </xf>
    <xf numFmtId="0" fontId="54" fillId="0" borderId="0" xfId="0" applyFont="1" applyAlignment="1">
      <alignment horizontal="center"/>
    </xf>
    <xf numFmtId="0" fontId="5" fillId="0" borderId="22" xfId="0" applyFont="1" applyBorder="1" applyAlignment="1">
      <alignment horizontal="center" vertical="top" wrapText="1"/>
    </xf>
    <xf numFmtId="0" fontId="57" fillId="0" borderId="26" xfId="0" applyFont="1" applyBorder="1" applyAlignment="1">
      <alignment/>
    </xf>
    <xf numFmtId="0" fontId="57" fillId="0" borderId="23" xfId="0" applyFont="1" applyBorder="1" applyAlignment="1">
      <alignment/>
    </xf>
    <xf numFmtId="49" fontId="13" fillId="0" borderId="22" xfId="0" applyNumberFormat="1" applyFont="1" applyBorder="1" applyAlignment="1">
      <alignment horizontal="center" vertical="top" wrapText="1"/>
    </xf>
    <xf numFmtId="0" fontId="13" fillId="0" borderId="21" xfId="0" applyFont="1" applyBorder="1" applyAlignment="1" quotePrefix="1">
      <alignment horizontal="center" vertical="center"/>
    </xf>
    <xf numFmtId="0" fontId="13" fillId="0" borderId="38" xfId="0" applyFont="1" applyBorder="1" applyAlignment="1" quotePrefix="1">
      <alignment horizontal="center" vertical="center"/>
    </xf>
    <xf numFmtId="0" fontId="13" fillId="0" borderId="24" xfId="0" applyFont="1" applyBorder="1" applyAlignment="1" quotePrefix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0" fontId="1" fillId="0" borderId="17" xfId="0" applyFont="1" applyBorder="1" applyAlignment="1" quotePrefix="1">
      <alignment horizontal="center" vertical="center"/>
    </xf>
    <xf numFmtId="0" fontId="4" fillId="0" borderId="22" xfId="0" applyFont="1" applyBorder="1" applyAlignment="1">
      <alignment horizontal="left" vertical="top" wrapText="1"/>
    </xf>
    <xf numFmtId="0" fontId="4" fillId="0" borderId="26" xfId="0" applyFont="1" applyBorder="1" applyAlignment="1">
      <alignment horizontal="left" vertical="top" wrapText="1"/>
    </xf>
    <xf numFmtId="0" fontId="4" fillId="0" borderId="23" xfId="0" applyFont="1" applyBorder="1" applyAlignment="1">
      <alignment horizontal="left" vertical="top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 wrapText="1"/>
    </xf>
    <xf numFmtId="0" fontId="50" fillId="0" borderId="22" xfId="0" applyFont="1" applyBorder="1" applyAlignment="1">
      <alignment horizontal="center" vertical="center" wrapText="1"/>
    </xf>
    <xf numFmtId="0" fontId="50" fillId="0" borderId="23" xfId="0" applyFont="1" applyBorder="1" applyAlignment="1">
      <alignment horizontal="center" vertical="center" wrapText="1"/>
    </xf>
    <xf numFmtId="49" fontId="13" fillId="0" borderId="22" xfId="0" applyNumberFormat="1" applyFont="1" applyBorder="1" applyAlignment="1">
      <alignment horizontal="center" vertical="center" wrapText="1"/>
    </xf>
    <xf numFmtId="49" fontId="13" fillId="0" borderId="26" xfId="0" applyNumberFormat="1" applyFont="1" applyBorder="1" applyAlignment="1">
      <alignment horizontal="center" vertical="center" wrapText="1"/>
    </xf>
    <xf numFmtId="49" fontId="13" fillId="0" borderId="23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center" wrapText="1"/>
    </xf>
    <xf numFmtId="0" fontId="24" fillId="0" borderId="0" xfId="0" applyFont="1" applyAlignment="1">
      <alignment horizontal="left"/>
    </xf>
    <xf numFmtId="0" fontId="48" fillId="0" borderId="0" xfId="0" applyFont="1" applyAlignment="1">
      <alignment/>
    </xf>
    <xf numFmtId="10" fontId="48" fillId="0" borderId="0" xfId="0" applyNumberFormat="1" applyFont="1" applyAlignment="1">
      <alignment/>
    </xf>
    <xf numFmtId="0" fontId="62" fillId="0" borderId="0" xfId="0" applyFont="1" applyAlignment="1">
      <alignment horizontal="left"/>
    </xf>
    <xf numFmtId="0" fontId="61" fillId="0" borderId="0" xfId="0" applyFont="1" applyAlignment="1">
      <alignment horizontal="left"/>
    </xf>
    <xf numFmtId="0" fontId="61" fillId="0" borderId="0" xfId="0" applyFont="1" applyAlignment="1">
      <alignment horizontal="left"/>
    </xf>
  </cellXfs>
  <cellStyles count="8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Доходи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'язана клітинка" xfId="76"/>
    <cellStyle name="Итог" xfId="77"/>
    <cellStyle name="Контрольна клітинка" xfId="78"/>
    <cellStyle name="Контрольная ячейка" xfId="79"/>
    <cellStyle name="Назва" xfId="80"/>
    <cellStyle name="Название" xfId="81"/>
    <cellStyle name="Нейтральный" xfId="82"/>
    <cellStyle name="Обчислення" xfId="83"/>
    <cellStyle name="Обычный_доходи" xfId="84"/>
    <cellStyle name="Followed Hyperlink" xfId="85"/>
    <cellStyle name="Підсумок" xfId="86"/>
    <cellStyle name="Плохой" xfId="87"/>
    <cellStyle name="Поганий" xfId="88"/>
    <cellStyle name="Пояснение" xfId="89"/>
    <cellStyle name="Примечание" xfId="90"/>
    <cellStyle name="Примітка" xfId="91"/>
    <cellStyle name="Percent" xfId="92"/>
    <cellStyle name="Результат" xfId="93"/>
    <cellStyle name="Связанная ячейка" xfId="94"/>
    <cellStyle name="Середній" xfId="95"/>
    <cellStyle name="Текст попередження" xfId="96"/>
    <cellStyle name="Текст пояснення" xfId="97"/>
    <cellStyle name="Текст предупреждения" xfId="98"/>
    <cellStyle name="Comma" xfId="99"/>
    <cellStyle name="Comma [0]" xfId="100"/>
    <cellStyle name="Хороший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85"/>
  <sheetViews>
    <sheetView zoomScale="150" zoomScaleNormal="150" zoomScaleSheetLayoutView="120" zoomScalePageLayoutView="0" workbookViewId="0" topLeftCell="B11">
      <pane xSplit="4" ySplit="8" topLeftCell="Q238" activePane="bottomRight" state="frozen"/>
      <selection pane="topLeft" activeCell="B11" sqref="B11"/>
      <selection pane="topRight" activeCell="F11" sqref="F11"/>
      <selection pane="bottomLeft" activeCell="B19" sqref="B19"/>
      <selection pane="bottomRight" activeCell="E11" sqref="E1:E16384"/>
    </sheetView>
  </sheetViews>
  <sheetFormatPr defaultColWidth="9.00390625" defaultRowHeight="12.75"/>
  <cols>
    <col min="1" max="1" width="9.25390625" style="0" hidden="1" customWidth="1"/>
    <col min="2" max="2" width="10.375" style="0" customWidth="1"/>
    <col min="3" max="3" width="9.875" style="0" customWidth="1"/>
    <col min="4" max="4" width="7.00390625" style="0" customWidth="1"/>
    <col min="5" max="5" width="35.125" style="0" customWidth="1"/>
    <col min="6" max="6" width="13.625" style="0" customWidth="1"/>
    <col min="7" max="7" width="12.875" style="0" customWidth="1"/>
    <col min="8" max="8" width="11.125" style="0" customWidth="1"/>
    <col min="9" max="9" width="12.00390625" style="0" customWidth="1"/>
    <col min="10" max="10" width="10.625" style="0" customWidth="1"/>
    <col min="11" max="12" width="11.75390625" style="0" customWidth="1"/>
    <col min="13" max="13" width="11.25390625" style="0" customWidth="1"/>
    <col min="14" max="14" width="10.00390625" style="0" customWidth="1"/>
    <col min="15" max="15" width="9.75390625" style="0" customWidth="1"/>
    <col min="16" max="16" width="10.875" style="0" customWidth="1"/>
    <col min="17" max="17" width="14.25390625" style="0" customWidth="1"/>
  </cols>
  <sheetData>
    <row r="1" spans="16:17" ht="14.25" customHeight="1">
      <c r="P1" s="363" t="s">
        <v>246</v>
      </c>
      <c r="Q1" s="363"/>
    </row>
    <row r="2" spans="16:17" ht="12.75">
      <c r="P2" s="363" t="s">
        <v>99</v>
      </c>
      <c r="Q2" s="363"/>
    </row>
    <row r="3" spans="16:17" ht="12.75">
      <c r="P3" s="363" t="s">
        <v>588</v>
      </c>
      <c r="Q3" s="363"/>
    </row>
    <row r="4" spans="2:16" ht="12.75">
      <c r="B4" s="2"/>
      <c r="C4" s="2"/>
      <c r="D4" s="2"/>
      <c r="P4" s="12"/>
    </row>
    <row r="5" spans="2:4" ht="12.75">
      <c r="B5" s="2"/>
      <c r="C5" s="2"/>
      <c r="D5" s="2"/>
    </row>
    <row r="6" spans="2:17" ht="20.25" customHeight="1">
      <c r="B6" s="367" t="s">
        <v>606</v>
      </c>
      <c r="C6" s="367"/>
      <c r="D6" s="367"/>
      <c r="E6" s="367"/>
      <c r="F6" s="367"/>
      <c r="G6" s="367"/>
      <c r="H6" s="367"/>
      <c r="I6" s="367"/>
      <c r="J6" s="367"/>
      <c r="K6" s="367"/>
      <c r="L6" s="367"/>
      <c r="M6" s="367"/>
      <c r="N6" s="367"/>
      <c r="O6" s="367"/>
      <c r="P6" s="367"/>
      <c r="Q6" s="367"/>
    </row>
    <row r="7" spans="2:17" ht="17.25" hidden="1">
      <c r="B7" s="367" t="s">
        <v>10</v>
      </c>
      <c r="C7" s="367"/>
      <c r="D7" s="367"/>
      <c r="E7" s="367"/>
      <c r="F7" s="367"/>
      <c r="G7" s="367"/>
      <c r="H7" s="367"/>
      <c r="I7" s="367"/>
      <c r="J7" s="367"/>
      <c r="K7" s="367"/>
      <c r="L7" s="367"/>
      <c r="M7" s="367"/>
      <c r="N7" s="367"/>
      <c r="O7" s="367"/>
      <c r="P7" s="367"/>
      <c r="Q7" s="367"/>
    </row>
    <row r="8" ht="12.75" hidden="1"/>
    <row r="9" spans="2:4" ht="12.75" hidden="1">
      <c r="B9" s="1"/>
      <c r="C9" s="1"/>
      <c r="D9" s="1"/>
    </row>
    <row r="10" spans="2:17" ht="12.75" hidden="1">
      <c r="B10" s="1"/>
      <c r="C10" s="1"/>
      <c r="D10" s="1"/>
      <c r="Q10" s="1" t="s">
        <v>11</v>
      </c>
    </row>
    <row r="11" spans="2:17" ht="13.5" thickBot="1">
      <c r="B11" s="1"/>
      <c r="C11" s="1"/>
      <c r="D11" s="1"/>
      <c r="Q11" s="1"/>
    </row>
    <row r="12" spans="1:17" ht="15.75" customHeight="1" thickBot="1">
      <c r="A12" s="385" t="s">
        <v>130</v>
      </c>
      <c r="B12" s="354" t="s">
        <v>258</v>
      </c>
      <c r="C12" s="354" t="s">
        <v>224</v>
      </c>
      <c r="D12" s="354" t="s">
        <v>293</v>
      </c>
      <c r="E12" s="354" t="s">
        <v>12</v>
      </c>
      <c r="F12" s="374" t="s">
        <v>1</v>
      </c>
      <c r="G12" s="374"/>
      <c r="H12" s="374"/>
      <c r="I12" s="374"/>
      <c r="J12" s="392"/>
      <c r="K12" s="373" t="s">
        <v>2</v>
      </c>
      <c r="L12" s="374"/>
      <c r="M12" s="374"/>
      <c r="N12" s="374"/>
      <c r="O12" s="374"/>
      <c r="P12" s="374"/>
      <c r="Q12" s="364" t="s">
        <v>3</v>
      </c>
    </row>
    <row r="13" spans="1:17" ht="12.75">
      <c r="A13" s="386"/>
      <c r="B13" s="354"/>
      <c r="C13" s="354"/>
      <c r="D13" s="354"/>
      <c r="E13" s="354"/>
      <c r="F13" s="368" t="s">
        <v>4</v>
      </c>
      <c r="G13" s="351" t="s">
        <v>225</v>
      </c>
      <c r="H13" s="371" t="s">
        <v>5</v>
      </c>
      <c r="I13" s="368"/>
      <c r="J13" s="351" t="s">
        <v>226</v>
      </c>
      <c r="K13" s="389" t="s">
        <v>6</v>
      </c>
      <c r="L13" s="351" t="s">
        <v>597</v>
      </c>
      <c r="M13" s="351" t="s">
        <v>7</v>
      </c>
      <c r="N13" s="371" t="s">
        <v>5</v>
      </c>
      <c r="O13" s="368"/>
      <c r="P13" s="351" t="s">
        <v>598</v>
      </c>
      <c r="Q13" s="365"/>
    </row>
    <row r="14" spans="1:17" ht="13.5" thickBot="1">
      <c r="A14" s="386"/>
      <c r="B14" s="354"/>
      <c r="C14" s="354"/>
      <c r="D14" s="354"/>
      <c r="E14" s="354"/>
      <c r="F14" s="369"/>
      <c r="G14" s="352"/>
      <c r="H14" s="372"/>
      <c r="I14" s="370"/>
      <c r="J14" s="352"/>
      <c r="K14" s="390"/>
      <c r="L14" s="352"/>
      <c r="M14" s="352"/>
      <c r="N14" s="372"/>
      <c r="O14" s="370"/>
      <c r="P14" s="352"/>
      <c r="Q14" s="365"/>
    </row>
    <row r="15" spans="1:17" ht="13.5" customHeight="1">
      <c r="A15" s="386"/>
      <c r="B15" s="354"/>
      <c r="C15" s="354"/>
      <c r="D15" s="354"/>
      <c r="E15" s="354" t="s">
        <v>259</v>
      </c>
      <c r="F15" s="369"/>
      <c r="G15" s="352"/>
      <c r="H15" s="351" t="s">
        <v>8</v>
      </c>
      <c r="I15" s="351" t="s">
        <v>9</v>
      </c>
      <c r="J15" s="352"/>
      <c r="K15" s="390"/>
      <c r="L15" s="352"/>
      <c r="M15" s="352"/>
      <c r="N15" s="351" t="s">
        <v>8</v>
      </c>
      <c r="O15" s="351" t="s">
        <v>9</v>
      </c>
      <c r="P15" s="352"/>
      <c r="Q15" s="365"/>
    </row>
    <row r="16" spans="1:17" ht="44.25" customHeight="1" thickBot="1">
      <c r="A16" s="387"/>
      <c r="B16" s="354"/>
      <c r="C16" s="354"/>
      <c r="D16" s="354"/>
      <c r="E16" s="354"/>
      <c r="F16" s="370"/>
      <c r="G16" s="353"/>
      <c r="H16" s="353"/>
      <c r="I16" s="353"/>
      <c r="J16" s="353"/>
      <c r="K16" s="391"/>
      <c r="L16" s="353"/>
      <c r="M16" s="353"/>
      <c r="N16" s="353"/>
      <c r="O16" s="353"/>
      <c r="P16" s="353"/>
      <c r="Q16" s="366"/>
    </row>
    <row r="17" spans="1:17" ht="13.5" customHeight="1" thickBot="1">
      <c r="A17" s="50">
        <v>1</v>
      </c>
      <c r="B17" s="105">
        <v>1</v>
      </c>
      <c r="C17" s="105">
        <v>2</v>
      </c>
      <c r="D17" s="105">
        <v>3</v>
      </c>
      <c r="E17" s="105">
        <v>4</v>
      </c>
      <c r="F17" s="3">
        <v>5</v>
      </c>
      <c r="G17" s="3">
        <v>6</v>
      </c>
      <c r="H17" s="3">
        <v>7</v>
      </c>
      <c r="I17" s="3">
        <v>8</v>
      </c>
      <c r="J17" s="3">
        <v>9</v>
      </c>
      <c r="K17" s="3">
        <v>10</v>
      </c>
      <c r="L17" s="3">
        <v>11</v>
      </c>
      <c r="M17" s="3">
        <v>12</v>
      </c>
      <c r="N17" s="3">
        <v>13</v>
      </c>
      <c r="O17" s="3">
        <v>14</v>
      </c>
      <c r="P17" s="3">
        <v>15</v>
      </c>
      <c r="Q17" s="3" t="s">
        <v>294</v>
      </c>
    </row>
    <row r="18" spans="1:23" ht="13.5" customHeight="1">
      <c r="A18" s="99"/>
      <c r="B18" s="355" t="s">
        <v>95</v>
      </c>
      <c r="C18" s="355"/>
      <c r="D18" s="355"/>
      <c r="E18" s="7" t="s">
        <v>13</v>
      </c>
      <c r="F18" s="154">
        <f>G18+J18</f>
        <v>39308239.35</v>
      </c>
      <c r="G18" s="143">
        <f>G19+G23+G26+G27+G29+G30+G31+G32+G33+G35</f>
        <v>39308239.35</v>
      </c>
      <c r="H18" s="143">
        <f>H19+H23+H26+H27+H29+H30+H31+H32+H33</f>
        <v>2193000</v>
      </c>
      <c r="I18" s="143">
        <f>I19+I23+I26+I27+I29+I30+I31+I32+I33</f>
        <v>133400</v>
      </c>
      <c r="J18" s="143">
        <f>J19+J23+J26+J27+J29+J30+J31+J32+J33</f>
        <v>0</v>
      </c>
      <c r="K18" s="144">
        <f>M18+P18</f>
        <v>1848635</v>
      </c>
      <c r="L18" s="143">
        <f>L19+L23+L26+L27+L29+L30+L31+L32+L33+L35+L28</f>
        <v>1398635</v>
      </c>
      <c r="M18" s="143">
        <f>M19+M23+M26+M27+M29+M30+M31+M32+M33+M35+M28</f>
        <v>450000</v>
      </c>
      <c r="N18" s="143">
        <f>N19+N23+N26+N27+N29+N30+N31+N32+N33+N35+N28</f>
        <v>0</v>
      </c>
      <c r="O18" s="143">
        <f>O19+O23+O26+O27+O29+O30+O31+O32+O33+O35+O28</f>
        <v>0</v>
      </c>
      <c r="P18" s="143">
        <f>P19+P23+P26+P27+P29+P30+P31+P32+P33+P35+P28</f>
        <v>1398635</v>
      </c>
      <c r="Q18" s="144">
        <f>F18+K18</f>
        <v>41156874.35</v>
      </c>
      <c r="R18" s="145"/>
      <c r="S18" s="145"/>
      <c r="T18" s="145"/>
      <c r="U18" s="145"/>
      <c r="V18" s="145"/>
      <c r="W18" s="145"/>
    </row>
    <row r="19" spans="1:23" ht="36">
      <c r="A19" s="100" t="s">
        <v>227</v>
      </c>
      <c r="B19" s="121" t="s">
        <v>327</v>
      </c>
      <c r="C19" s="121" t="s">
        <v>328</v>
      </c>
      <c r="D19" s="121" t="s">
        <v>295</v>
      </c>
      <c r="E19" s="116" t="s">
        <v>284</v>
      </c>
      <c r="F19" s="154">
        <f>G19+J19</f>
        <v>3423600</v>
      </c>
      <c r="G19" s="148">
        <f>3088600+25000+200000+30000+80000</f>
        <v>3423600</v>
      </c>
      <c r="H19" s="148">
        <f>2050000+20500+122500</f>
        <v>2193000</v>
      </c>
      <c r="I19" s="148">
        <f>108400+33500+1000-9500</f>
        <v>133400</v>
      </c>
      <c r="J19" s="118">
        <v>0</v>
      </c>
      <c r="K19" s="144">
        <f>M19+P19</f>
        <v>38135</v>
      </c>
      <c r="L19" s="118">
        <f>P19</f>
        <v>38135</v>
      </c>
      <c r="M19" s="82">
        <v>0</v>
      </c>
      <c r="N19" s="82">
        <v>0</v>
      </c>
      <c r="O19" s="82">
        <v>0</v>
      </c>
      <c r="P19" s="148">
        <f>300000-276865+15000</f>
        <v>38135</v>
      </c>
      <c r="Q19" s="144">
        <f>F19+K19</f>
        <v>3461735</v>
      </c>
      <c r="R19" s="145"/>
      <c r="S19" s="145"/>
      <c r="T19" s="145"/>
      <c r="U19" s="145"/>
      <c r="V19" s="145"/>
      <c r="W19" s="145"/>
    </row>
    <row r="20" spans="1:23" ht="14.25" hidden="1">
      <c r="A20" s="100"/>
      <c r="B20" s="356" t="s">
        <v>552</v>
      </c>
      <c r="C20" s="357"/>
      <c r="D20" s="358"/>
      <c r="E20" s="7" t="s">
        <v>397</v>
      </c>
      <c r="F20" s="154">
        <f aca="true" t="shared" si="0" ref="F20:Q20">F21</f>
        <v>0</v>
      </c>
      <c r="G20" s="160">
        <f t="shared" si="0"/>
        <v>0</v>
      </c>
      <c r="H20" s="160">
        <f t="shared" si="0"/>
        <v>0</v>
      </c>
      <c r="I20" s="154">
        <f t="shared" si="0"/>
        <v>0</v>
      </c>
      <c r="J20" s="154">
        <f t="shared" si="0"/>
        <v>0</v>
      </c>
      <c r="K20" s="144">
        <f aca="true" t="shared" si="1" ref="K20:K33">M20+P20</f>
        <v>0</v>
      </c>
      <c r="L20" s="118">
        <f aca="true" t="shared" si="2" ref="L20:L82">P20</f>
        <v>0</v>
      </c>
      <c r="M20" s="154">
        <f t="shared" si="0"/>
        <v>0</v>
      </c>
      <c r="N20" s="154">
        <f t="shared" si="0"/>
        <v>0</v>
      </c>
      <c r="O20" s="154">
        <f t="shared" si="0"/>
        <v>0</v>
      </c>
      <c r="P20" s="154">
        <f t="shared" si="0"/>
        <v>0</v>
      </c>
      <c r="Q20" s="154">
        <f t="shared" si="0"/>
        <v>0</v>
      </c>
      <c r="R20" s="145"/>
      <c r="S20" s="145"/>
      <c r="T20" s="145"/>
      <c r="U20" s="145"/>
      <c r="V20" s="145"/>
      <c r="W20" s="145"/>
    </row>
    <row r="21" spans="1:23" s="80" customFormat="1" ht="24" hidden="1">
      <c r="A21" s="103" t="s">
        <v>131</v>
      </c>
      <c r="B21" s="228" t="s">
        <v>551</v>
      </c>
      <c r="C21" s="228" t="s">
        <v>553</v>
      </c>
      <c r="D21" s="228" t="s">
        <v>230</v>
      </c>
      <c r="E21" s="126" t="s">
        <v>554</v>
      </c>
      <c r="F21" s="253">
        <f aca="true" t="shared" si="3" ref="F21:F36">G21+J21</f>
        <v>0</v>
      </c>
      <c r="G21" s="148">
        <v>0</v>
      </c>
      <c r="H21" s="148">
        <v>0</v>
      </c>
      <c r="I21" s="150">
        <v>0</v>
      </c>
      <c r="J21" s="151"/>
      <c r="K21" s="144">
        <f t="shared" si="1"/>
        <v>0</v>
      </c>
      <c r="L21" s="118">
        <f t="shared" si="2"/>
        <v>0</v>
      </c>
      <c r="M21" s="150">
        <v>0</v>
      </c>
      <c r="N21" s="150">
        <v>0</v>
      </c>
      <c r="O21" s="150">
        <v>0</v>
      </c>
      <c r="P21" s="150"/>
      <c r="Q21" s="152">
        <f aca="true" t="shared" si="4" ref="Q21:Q28">F21+K21</f>
        <v>0</v>
      </c>
      <c r="R21" s="153"/>
      <c r="S21" s="153"/>
      <c r="T21" s="153"/>
      <c r="U21" s="153"/>
      <c r="V21" s="153"/>
      <c r="W21" s="153"/>
    </row>
    <row r="22" spans="1:23" s="80" customFormat="1" ht="22.5" hidden="1">
      <c r="A22" s="103" t="s">
        <v>132</v>
      </c>
      <c r="B22" s="106" t="s">
        <v>260</v>
      </c>
      <c r="C22" s="106" t="s">
        <v>307</v>
      </c>
      <c r="D22" s="106" t="s">
        <v>230</v>
      </c>
      <c r="E22" s="79" t="s">
        <v>262</v>
      </c>
      <c r="F22" s="253">
        <f t="shared" si="3"/>
        <v>0</v>
      </c>
      <c r="G22" s="148">
        <v>0</v>
      </c>
      <c r="H22" s="148">
        <v>0</v>
      </c>
      <c r="I22" s="150">
        <v>0</v>
      </c>
      <c r="J22" s="151">
        <v>0</v>
      </c>
      <c r="K22" s="144">
        <f t="shared" si="1"/>
        <v>0</v>
      </c>
      <c r="L22" s="118">
        <f t="shared" si="2"/>
        <v>0</v>
      </c>
      <c r="M22" s="150">
        <v>0</v>
      </c>
      <c r="N22" s="150">
        <v>0</v>
      </c>
      <c r="O22" s="150">
        <v>0</v>
      </c>
      <c r="P22" s="150"/>
      <c r="Q22" s="152">
        <f t="shared" si="4"/>
        <v>0</v>
      </c>
      <c r="R22" s="153"/>
      <c r="S22" s="153"/>
      <c r="T22" s="153"/>
      <c r="U22" s="153"/>
      <c r="V22" s="153"/>
      <c r="W22" s="153"/>
    </row>
    <row r="23" spans="1:23" ht="24">
      <c r="A23" s="100" t="s">
        <v>133</v>
      </c>
      <c r="B23" s="124" t="s">
        <v>454</v>
      </c>
      <c r="C23" s="121" t="s">
        <v>301</v>
      </c>
      <c r="D23" s="121" t="s">
        <v>236</v>
      </c>
      <c r="E23" s="116" t="s">
        <v>455</v>
      </c>
      <c r="F23" s="154">
        <f aca="true" t="shared" si="5" ref="F23:F28">G23+J23</f>
        <v>457000</v>
      </c>
      <c r="G23" s="148">
        <f>213000+110000+50000+50000+29700+4300</f>
        <v>457000</v>
      </c>
      <c r="H23" s="148">
        <v>0</v>
      </c>
      <c r="I23" s="82">
        <v>0</v>
      </c>
      <c r="J23" s="118">
        <v>0</v>
      </c>
      <c r="K23" s="144">
        <f t="shared" si="1"/>
        <v>0</v>
      </c>
      <c r="L23" s="118">
        <f t="shared" si="2"/>
        <v>0</v>
      </c>
      <c r="M23" s="82">
        <v>0</v>
      </c>
      <c r="N23" s="82">
        <v>0</v>
      </c>
      <c r="O23" s="82">
        <v>0</v>
      </c>
      <c r="P23" s="82"/>
      <c r="Q23" s="144">
        <f t="shared" si="4"/>
        <v>457000</v>
      </c>
      <c r="R23" s="145"/>
      <c r="S23" s="145"/>
      <c r="T23" s="145"/>
      <c r="U23" s="145"/>
      <c r="V23" s="145"/>
      <c r="W23" s="145"/>
    </row>
    <row r="24" spans="1:23" ht="14.25" hidden="1">
      <c r="A24" s="100"/>
      <c r="B24" s="356" t="s">
        <v>552</v>
      </c>
      <c r="C24" s="357"/>
      <c r="D24" s="358"/>
      <c r="E24" s="7" t="s">
        <v>397</v>
      </c>
      <c r="F24" s="154">
        <f t="shared" si="5"/>
        <v>0</v>
      </c>
      <c r="G24" s="154">
        <f aca="true" t="shared" si="6" ref="G24:P24">G25</f>
        <v>0</v>
      </c>
      <c r="H24" s="154">
        <f t="shared" si="6"/>
        <v>0</v>
      </c>
      <c r="I24" s="154">
        <f t="shared" si="6"/>
        <v>0</v>
      </c>
      <c r="J24" s="154">
        <f t="shared" si="6"/>
        <v>0</v>
      </c>
      <c r="K24" s="144">
        <f t="shared" si="1"/>
        <v>0</v>
      </c>
      <c r="L24" s="118">
        <f t="shared" si="2"/>
        <v>0</v>
      </c>
      <c r="M24" s="154">
        <f t="shared" si="6"/>
        <v>0</v>
      </c>
      <c r="N24" s="154">
        <f t="shared" si="6"/>
        <v>0</v>
      </c>
      <c r="O24" s="154">
        <f t="shared" si="6"/>
        <v>0</v>
      </c>
      <c r="P24" s="154">
        <f t="shared" si="6"/>
        <v>0</v>
      </c>
      <c r="Q24" s="144">
        <f t="shared" si="4"/>
        <v>0</v>
      </c>
      <c r="R24" s="145"/>
      <c r="S24" s="145"/>
      <c r="T24" s="145"/>
      <c r="U24" s="145"/>
      <c r="V24" s="145"/>
      <c r="W24" s="145"/>
    </row>
    <row r="25" spans="1:23" ht="24" hidden="1">
      <c r="A25" s="100"/>
      <c r="B25" s="228" t="s">
        <v>551</v>
      </c>
      <c r="C25" s="228" t="s">
        <v>553</v>
      </c>
      <c r="D25" s="228" t="s">
        <v>230</v>
      </c>
      <c r="E25" s="126" t="s">
        <v>554</v>
      </c>
      <c r="F25" s="154">
        <f t="shared" si="5"/>
        <v>0</v>
      </c>
      <c r="G25" s="147"/>
      <c r="H25" s="82"/>
      <c r="I25" s="82"/>
      <c r="J25" s="118"/>
      <c r="K25" s="144">
        <f t="shared" si="1"/>
        <v>0</v>
      </c>
      <c r="L25" s="118">
        <f t="shared" si="2"/>
        <v>0</v>
      </c>
      <c r="M25" s="82"/>
      <c r="N25" s="82"/>
      <c r="O25" s="82"/>
      <c r="P25" s="82"/>
      <c r="Q25" s="144">
        <f t="shared" si="4"/>
        <v>0</v>
      </c>
      <c r="R25" s="145"/>
      <c r="S25" s="145"/>
      <c r="T25" s="145"/>
      <c r="U25" s="145"/>
      <c r="V25" s="145"/>
      <c r="W25" s="145"/>
    </row>
    <row r="26" spans="1:23" s="76" customFormat="1" ht="12.75">
      <c r="A26" s="101"/>
      <c r="B26" s="124" t="s">
        <v>568</v>
      </c>
      <c r="C26" s="124" t="s">
        <v>569</v>
      </c>
      <c r="D26" s="124" t="s">
        <v>319</v>
      </c>
      <c r="E26" s="125" t="s">
        <v>318</v>
      </c>
      <c r="F26" s="154">
        <f t="shared" si="5"/>
        <v>30000</v>
      </c>
      <c r="G26" s="148">
        <v>30000</v>
      </c>
      <c r="H26" s="148"/>
      <c r="I26" s="148"/>
      <c r="J26" s="157"/>
      <c r="K26" s="144">
        <f t="shared" si="1"/>
        <v>0</v>
      </c>
      <c r="L26" s="118">
        <f t="shared" si="2"/>
        <v>0</v>
      </c>
      <c r="M26" s="148"/>
      <c r="N26" s="148"/>
      <c r="O26" s="148"/>
      <c r="P26" s="148"/>
      <c r="Q26" s="144">
        <f t="shared" si="4"/>
        <v>30000</v>
      </c>
      <c r="R26" s="159"/>
      <c r="S26" s="159"/>
      <c r="T26" s="159"/>
      <c r="U26" s="159"/>
      <c r="V26" s="159"/>
      <c r="W26" s="159"/>
    </row>
    <row r="27" spans="1:23" s="76" customFormat="1" ht="12.75">
      <c r="A27" s="101"/>
      <c r="B27" s="124" t="s">
        <v>329</v>
      </c>
      <c r="C27" s="120">
        <v>6030</v>
      </c>
      <c r="D27" s="124" t="s">
        <v>310</v>
      </c>
      <c r="E27" s="125" t="s">
        <v>333</v>
      </c>
      <c r="F27" s="160">
        <f t="shared" si="5"/>
        <v>7000</v>
      </c>
      <c r="G27" s="148">
        <v>7000</v>
      </c>
      <c r="H27" s="148">
        <v>0</v>
      </c>
      <c r="I27" s="148">
        <v>0</v>
      </c>
      <c r="J27" s="157">
        <v>0</v>
      </c>
      <c r="K27" s="144">
        <f t="shared" si="1"/>
        <v>0</v>
      </c>
      <c r="L27" s="118">
        <f t="shared" si="2"/>
        <v>0</v>
      </c>
      <c r="M27" s="148"/>
      <c r="N27" s="148"/>
      <c r="O27" s="148"/>
      <c r="P27" s="148"/>
      <c r="Q27" s="158">
        <f t="shared" si="4"/>
        <v>7000</v>
      </c>
      <c r="R27" s="159"/>
      <c r="S27" s="159"/>
      <c r="T27" s="159"/>
      <c r="U27" s="159"/>
      <c r="V27" s="159"/>
      <c r="W27" s="159"/>
    </row>
    <row r="28" spans="1:23" s="76" customFormat="1" ht="24">
      <c r="A28" s="101"/>
      <c r="B28" s="124" t="s">
        <v>551</v>
      </c>
      <c r="C28" s="124" t="s">
        <v>553</v>
      </c>
      <c r="D28" s="124" t="s">
        <v>230</v>
      </c>
      <c r="E28" s="125" t="s">
        <v>554</v>
      </c>
      <c r="F28" s="156">
        <f t="shared" si="5"/>
        <v>0</v>
      </c>
      <c r="G28" s="148">
        <v>0</v>
      </c>
      <c r="H28" s="148">
        <v>0</v>
      </c>
      <c r="I28" s="148">
        <v>0</v>
      </c>
      <c r="J28" s="158">
        <v>0</v>
      </c>
      <c r="K28" s="144">
        <f>M28+P28</f>
        <v>14000</v>
      </c>
      <c r="L28" s="118">
        <f t="shared" si="2"/>
        <v>14000</v>
      </c>
      <c r="M28" s="148">
        <v>0</v>
      </c>
      <c r="N28" s="148">
        <v>0</v>
      </c>
      <c r="O28" s="148">
        <v>0</v>
      </c>
      <c r="P28" s="161">
        <v>14000</v>
      </c>
      <c r="Q28" s="158">
        <f t="shared" si="4"/>
        <v>14000</v>
      </c>
      <c r="R28" s="159"/>
      <c r="S28" s="159"/>
      <c r="T28" s="159"/>
      <c r="U28" s="159"/>
      <c r="V28" s="159"/>
      <c r="W28" s="159"/>
    </row>
    <row r="29" spans="1:23" ht="27" customHeight="1">
      <c r="A29" s="100" t="s">
        <v>134</v>
      </c>
      <c r="B29" s="121" t="s">
        <v>330</v>
      </c>
      <c r="C29" s="121" t="s">
        <v>331</v>
      </c>
      <c r="D29" s="121" t="s">
        <v>239</v>
      </c>
      <c r="E29" s="123" t="s">
        <v>332</v>
      </c>
      <c r="F29" s="154">
        <f t="shared" si="3"/>
        <v>1517926.21</v>
      </c>
      <c r="G29" s="147">
        <f>1028100+243026.21+150100+96700</f>
        <v>1517926.21</v>
      </c>
      <c r="H29" s="82">
        <v>0</v>
      </c>
      <c r="I29" s="82">
        <v>0</v>
      </c>
      <c r="J29" s="118">
        <v>0</v>
      </c>
      <c r="K29" s="144">
        <f t="shared" si="1"/>
        <v>0</v>
      </c>
      <c r="L29" s="118">
        <f t="shared" si="2"/>
        <v>0</v>
      </c>
      <c r="M29" s="82">
        <v>0</v>
      </c>
      <c r="N29" s="82">
        <v>0</v>
      </c>
      <c r="O29" s="82">
        <v>0</v>
      </c>
      <c r="P29" s="82">
        <v>0</v>
      </c>
      <c r="Q29" s="144">
        <f aca="true" t="shared" si="7" ref="Q29:Q40">F29+K29</f>
        <v>1517926.21</v>
      </c>
      <c r="R29" s="145"/>
      <c r="S29" s="145"/>
      <c r="T29" s="145"/>
      <c r="U29" s="145"/>
      <c r="V29" s="145"/>
      <c r="W29" s="145"/>
    </row>
    <row r="30" spans="1:23" ht="27" customHeight="1">
      <c r="A30" s="100"/>
      <c r="B30" s="121" t="s">
        <v>548</v>
      </c>
      <c r="C30" s="121" t="s">
        <v>549</v>
      </c>
      <c r="D30" s="121" t="s">
        <v>239</v>
      </c>
      <c r="E30" s="123" t="s">
        <v>550</v>
      </c>
      <c r="F30" s="154">
        <f>G30</f>
        <v>286971</v>
      </c>
      <c r="G30" s="147">
        <f>275500+11471</f>
        <v>286971</v>
      </c>
      <c r="H30" s="82">
        <v>0</v>
      </c>
      <c r="I30" s="82">
        <v>0</v>
      </c>
      <c r="J30" s="118">
        <v>0</v>
      </c>
      <c r="K30" s="144">
        <f t="shared" si="1"/>
        <v>0</v>
      </c>
      <c r="L30" s="118">
        <f t="shared" si="2"/>
        <v>0</v>
      </c>
      <c r="M30" s="82"/>
      <c r="N30" s="82"/>
      <c r="O30" s="82"/>
      <c r="P30" s="82">
        <v>0</v>
      </c>
      <c r="Q30" s="144">
        <f t="shared" si="7"/>
        <v>286971</v>
      </c>
      <c r="R30" s="145"/>
      <c r="S30" s="145"/>
      <c r="T30" s="145"/>
      <c r="U30" s="145"/>
      <c r="V30" s="145"/>
      <c r="W30" s="145"/>
    </row>
    <row r="31" spans="1:23" ht="24">
      <c r="A31" s="100" t="s">
        <v>135</v>
      </c>
      <c r="B31" s="124" t="s">
        <v>420</v>
      </c>
      <c r="C31" s="121" t="s">
        <v>288</v>
      </c>
      <c r="D31" s="121" t="s">
        <v>296</v>
      </c>
      <c r="E31" s="116" t="s">
        <v>263</v>
      </c>
      <c r="F31" s="154">
        <f t="shared" si="3"/>
        <v>32961042.14</v>
      </c>
      <c r="G31" s="148">
        <f>20800+32647700-2000000+271000+597042.14+1500000-235000+66500+56000+15000+22000</f>
        <v>32961042.14</v>
      </c>
      <c r="H31" s="148">
        <f>12519800+3663500+1229500+625600-18038400</f>
        <v>0</v>
      </c>
      <c r="I31" s="148">
        <f>2178620-2178620</f>
        <v>0</v>
      </c>
      <c r="J31" s="118">
        <v>0</v>
      </c>
      <c r="K31" s="144">
        <f t="shared" si="1"/>
        <v>1224500</v>
      </c>
      <c r="L31" s="118">
        <f t="shared" si="2"/>
        <v>774500</v>
      </c>
      <c r="M31" s="148">
        <f>450000</f>
        <v>450000</v>
      </c>
      <c r="N31" s="82">
        <f>50000-50000</f>
        <v>0</v>
      </c>
      <c r="O31" s="82">
        <f>12500-12500</f>
        <v>0</v>
      </c>
      <c r="P31" s="82">
        <f>270900+50400+265000+88200+100000</f>
        <v>774500</v>
      </c>
      <c r="Q31" s="144">
        <f t="shared" si="7"/>
        <v>34185542.14</v>
      </c>
      <c r="R31" s="145"/>
      <c r="S31" s="145"/>
      <c r="T31" s="145"/>
      <c r="U31" s="145"/>
      <c r="V31" s="145"/>
      <c r="W31" s="145"/>
    </row>
    <row r="32" spans="1:23" ht="34.5" customHeight="1">
      <c r="A32" s="100" t="s">
        <v>136</v>
      </c>
      <c r="B32" s="124" t="s">
        <v>452</v>
      </c>
      <c r="C32" s="121" t="s">
        <v>421</v>
      </c>
      <c r="D32" s="121" t="s">
        <v>422</v>
      </c>
      <c r="E32" s="116" t="s">
        <v>423</v>
      </c>
      <c r="F32" s="154">
        <f t="shared" si="3"/>
        <v>522700</v>
      </c>
      <c r="G32" s="147">
        <f>425700+15000+20000+40000+22000</f>
        <v>522700</v>
      </c>
      <c r="H32" s="82">
        <v>0</v>
      </c>
      <c r="I32" s="82">
        <v>0</v>
      </c>
      <c r="J32" s="118">
        <v>0</v>
      </c>
      <c r="K32" s="144">
        <f t="shared" si="1"/>
        <v>160000</v>
      </c>
      <c r="L32" s="118">
        <f t="shared" si="2"/>
        <v>160000</v>
      </c>
      <c r="M32" s="82">
        <v>0</v>
      </c>
      <c r="N32" s="82">
        <v>0</v>
      </c>
      <c r="O32" s="82">
        <v>0</v>
      </c>
      <c r="P32" s="82">
        <v>160000</v>
      </c>
      <c r="Q32" s="144">
        <f t="shared" si="7"/>
        <v>682700</v>
      </c>
      <c r="R32" s="145"/>
      <c r="S32" s="145"/>
      <c r="T32" s="145"/>
      <c r="U32" s="145"/>
      <c r="V32" s="145"/>
      <c r="W32" s="145"/>
    </row>
    <row r="33" spans="1:23" ht="24">
      <c r="A33" s="100" t="s">
        <v>137</v>
      </c>
      <c r="B33" s="124" t="s">
        <v>601</v>
      </c>
      <c r="C33" s="121" t="s">
        <v>602</v>
      </c>
      <c r="D33" s="121" t="s">
        <v>291</v>
      </c>
      <c r="E33" s="117" t="s">
        <v>447</v>
      </c>
      <c r="F33" s="154">
        <f t="shared" si="3"/>
        <v>102000</v>
      </c>
      <c r="G33" s="147">
        <v>102000</v>
      </c>
      <c r="H33" s="82">
        <v>0</v>
      </c>
      <c r="I33" s="82">
        <v>0</v>
      </c>
      <c r="J33" s="118">
        <v>0</v>
      </c>
      <c r="K33" s="144">
        <f t="shared" si="1"/>
        <v>0</v>
      </c>
      <c r="L33" s="118">
        <f t="shared" si="2"/>
        <v>0</v>
      </c>
      <c r="M33" s="82">
        <v>0</v>
      </c>
      <c r="N33" s="82">
        <v>0</v>
      </c>
      <c r="O33" s="82">
        <v>0</v>
      </c>
      <c r="P33" s="82"/>
      <c r="Q33" s="144">
        <f t="shared" si="7"/>
        <v>102000</v>
      </c>
      <c r="R33" s="145"/>
      <c r="S33" s="145"/>
      <c r="T33" s="145"/>
      <c r="U33" s="145"/>
      <c r="V33" s="145"/>
      <c r="W33" s="145"/>
    </row>
    <row r="34" spans="1:23" s="76" customFormat="1" ht="22.5" hidden="1">
      <c r="A34" s="101" t="s">
        <v>138</v>
      </c>
      <c r="B34" s="124" t="s">
        <v>611</v>
      </c>
      <c r="C34" s="108" t="s">
        <v>304</v>
      </c>
      <c r="D34" s="108" t="s">
        <v>236</v>
      </c>
      <c r="E34" s="93" t="s">
        <v>102</v>
      </c>
      <c r="F34" s="146">
        <f t="shared" si="3"/>
        <v>0</v>
      </c>
      <c r="G34" s="148"/>
      <c r="H34" s="148">
        <v>0</v>
      </c>
      <c r="I34" s="148">
        <v>0</v>
      </c>
      <c r="J34" s="157"/>
      <c r="K34" s="158">
        <f>M34+P34</f>
        <v>0</v>
      </c>
      <c r="L34" s="118">
        <f t="shared" si="2"/>
        <v>0</v>
      </c>
      <c r="M34" s="148">
        <v>0</v>
      </c>
      <c r="N34" s="148">
        <v>0</v>
      </c>
      <c r="O34" s="148">
        <v>0</v>
      </c>
      <c r="P34" s="148"/>
      <c r="Q34" s="158">
        <f t="shared" si="7"/>
        <v>0</v>
      </c>
      <c r="R34" s="159"/>
      <c r="S34" s="159"/>
      <c r="T34" s="159"/>
      <c r="U34" s="159"/>
      <c r="V34" s="159"/>
      <c r="W34" s="159"/>
    </row>
    <row r="35" spans="1:23" s="76" customFormat="1" ht="48">
      <c r="A35" s="101" t="s">
        <v>139</v>
      </c>
      <c r="B35" s="124" t="s">
        <v>612</v>
      </c>
      <c r="C35" s="124" t="s">
        <v>556</v>
      </c>
      <c r="D35" s="124" t="s">
        <v>230</v>
      </c>
      <c r="E35" s="125" t="s">
        <v>561</v>
      </c>
      <c r="F35" s="146">
        <f t="shared" si="3"/>
        <v>0</v>
      </c>
      <c r="G35" s="148">
        <v>0</v>
      </c>
      <c r="H35" s="148">
        <v>0</v>
      </c>
      <c r="I35" s="148">
        <v>0</v>
      </c>
      <c r="J35" s="157">
        <v>0</v>
      </c>
      <c r="K35" s="158">
        <f>M35+P35</f>
        <v>412000</v>
      </c>
      <c r="L35" s="118">
        <f t="shared" si="2"/>
        <v>412000</v>
      </c>
      <c r="M35" s="148">
        <v>0</v>
      </c>
      <c r="N35" s="148">
        <v>0</v>
      </c>
      <c r="O35" s="148">
        <v>0</v>
      </c>
      <c r="P35" s="148">
        <f>400000+12000</f>
        <v>412000</v>
      </c>
      <c r="Q35" s="158">
        <f>F35+K35</f>
        <v>412000</v>
      </c>
      <c r="R35" s="159"/>
      <c r="S35" s="159"/>
      <c r="T35" s="159"/>
      <c r="U35" s="159"/>
      <c r="V35" s="159"/>
      <c r="W35" s="159"/>
    </row>
    <row r="36" spans="1:23" s="76" customFormat="1" ht="14.25" hidden="1">
      <c r="A36" s="101" t="s">
        <v>140</v>
      </c>
      <c r="B36" s="301" t="s">
        <v>453</v>
      </c>
      <c r="C36" s="302"/>
      <c r="D36" s="303"/>
      <c r="E36" s="120" t="s">
        <v>395</v>
      </c>
      <c r="F36" s="146">
        <f t="shared" si="3"/>
        <v>0</v>
      </c>
      <c r="G36" s="148"/>
      <c r="H36" s="148">
        <v>0</v>
      </c>
      <c r="I36" s="148">
        <v>0</v>
      </c>
      <c r="J36" s="157">
        <v>0</v>
      </c>
      <c r="K36" s="158">
        <f>M36+P36</f>
        <v>0</v>
      </c>
      <c r="L36" s="118">
        <f t="shared" si="2"/>
        <v>0</v>
      </c>
      <c r="M36" s="148"/>
      <c r="N36" s="148"/>
      <c r="O36" s="148"/>
      <c r="P36" s="148"/>
      <c r="Q36" s="158">
        <f t="shared" si="7"/>
        <v>0</v>
      </c>
      <c r="R36" s="159"/>
      <c r="S36" s="159"/>
      <c r="T36" s="159"/>
      <c r="U36" s="159"/>
      <c r="V36" s="159"/>
      <c r="W36" s="159"/>
    </row>
    <row r="37" spans="1:23" ht="14.25">
      <c r="A37" s="100"/>
      <c r="B37" s="359" t="s">
        <v>324</v>
      </c>
      <c r="C37" s="359"/>
      <c r="D37" s="359"/>
      <c r="E37" s="7" t="s">
        <v>15</v>
      </c>
      <c r="F37" s="154">
        <f>F39+F56</f>
        <v>61920</v>
      </c>
      <c r="G37" s="154">
        <f>G39+G56</f>
        <v>61920</v>
      </c>
      <c r="H37" s="154">
        <f>H39+H56</f>
        <v>0</v>
      </c>
      <c r="I37" s="154">
        <f>I39+I56</f>
        <v>0</v>
      </c>
      <c r="J37" s="154">
        <f>J39+J56</f>
        <v>0</v>
      </c>
      <c r="K37" s="155">
        <f>M37+P37</f>
        <v>0</v>
      </c>
      <c r="L37" s="118">
        <f>L39+L56</f>
        <v>0</v>
      </c>
      <c r="M37" s="118">
        <f>M39+M56</f>
        <v>0</v>
      </c>
      <c r="N37" s="118">
        <f>N39+N56</f>
        <v>0</v>
      </c>
      <c r="O37" s="118">
        <f>O39+O56</f>
        <v>0</v>
      </c>
      <c r="P37" s="118">
        <f>P39+P56</f>
        <v>0</v>
      </c>
      <c r="Q37" s="158">
        <f t="shared" si="7"/>
        <v>61920</v>
      </c>
      <c r="R37" s="145"/>
      <c r="S37" s="145"/>
      <c r="T37" s="145"/>
      <c r="U37" s="145"/>
      <c r="V37" s="145"/>
      <c r="W37" s="145"/>
    </row>
    <row r="38" spans="1:23" s="76" customFormat="1" ht="12.75" hidden="1">
      <c r="A38" s="101" t="s">
        <v>141</v>
      </c>
      <c r="B38" s="107" t="s">
        <v>141</v>
      </c>
      <c r="C38" s="108" t="s">
        <v>287</v>
      </c>
      <c r="D38" s="108" t="s">
        <v>236</v>
      </c>
      <c r="E38" s="125" t="s">
        <v>14</v>
      </c>
      <c r="F38" s="156">
        <f aca="true" t="shared" si="8" ref="F38:F56">G38+J38</f>
        <v>0</v>
      </c>
      <c r="G38" s="148"/>
      <c r="H38" s="148">
        <v>0</v>
      </c>
      <c r="I38" s="148">
        <v>0</v>
      </c>
      <c r="J38" s="157"/>
      <c r="K38" s="158">
        <f aca="true" t="shared" si="9" ref="K38:K43">M38+P38</f>
        <v>0</v>
      </c>
      <c r="L38" s="118">
        <f t="shared" si="2"/>
        <v>0</v>
      </c>
      <c r="M38" s="148">
        <v>0</v>
      </c>
      <c r="N38" s="148">
        <v>0</v>
      </c>
      <c r="O38" s="148">
        <v>0</v>
      </c>
      <c r="P38" s="148">
        <v>0</v>
      </c>
      <c r="Q38" s="158">
        <f t="shared" si="7"/>
        <v>0</v>
      </c>
      <c r="R38" s="159"/>
      <c r="S38" s="159"/>
      <c r="T38" s="159"/>
      <c r="U38" s="159"/>
      <c r="V38" s="159"/>
      <c r="W38" s="159"/>
    </row>
    <row r="39" spans="1:23" s="76" customFormat="1" ht="24">
      <c r="A39" s="101" t="s">
        <v>142</v>
      </c>
      <c r="B39" s="124" t="s">
        <v>334</v>
      </c>
      <c r="C39" s="124" t="s">
        <v>335</v>
      </c>
      <c r="D39" s="124" t="s">
        <v>336</v>
      </c>
      <c r="E39" s="125" t="s">
        <v>337</v>
      </c>
      <c r="F39" s="156">
        <f>G39+J39</f>
        <v>61700</v>
      </c>
      <c r="G39" s="148">
        <v>61700</v>
      </c>
      <c r="H39" s="148">
        <v>0</v>
      </c>
      <c r="I39" s="148">
        <v>0</v>
      </c>
      <c r="J39" s="157">
        <v>0</v>
      </c>
      <c r="K39" s="158">
        <f>M39+P39</f>
        <v>0</v>
      </c>
      <c r="L39" s="118">
        <f t="shared" si="2"/>
        <v>0</v>
      </c>
      <c r="M39" s="148">
        <v>0</v>
      </c>
      <c r="N39" s="148">
        <v>0</v>
      </c>
      <c r="O39" s="148">
        <v>0</v>
      </c>
      <c r="P39" s="148"/>
      <c r="Q39" s="158">
        <f t="shared" si="7"/>
        <v>61700</v>
      </c>
      <c r="R39" s="159"/>
      <c r="S39" s="159"/>
      <c r="T39" s="159"/>
      <c r="U39" s="159"/>
      <c r="V39" s="159"/>
      <c r="W39" s="159"/>
    </row>
    <row r="40" spans="1:23" s="80" customFormat="1" ht="36" hidden="1">
      <c r="A40" s="103"/>
      <c r="B40" s="109"/>
      <c r="C40" s="109"/>
      <c r="D40" s="109"/>
      <c r="E40" s="126" t="s">
        <v>105</v>
      </c>
      <c r="F40" s="149">
        <f t="shared" si="8"/>
        <v>0</v>
      </c>
      <c r="G40" s="150"/>
      <c r="H40" s="150">
        <v>0</v>
      </c>
      <c r="I40" s="150">
        <v>0</v>
      </c>
      <c r="J40" s="151"/>
      <c r="K40" s="152">
        <f t="shared" si="9"/>
        <v>0</v>
      </c>
      <c r="L40" s="118">
        <f t="shared" si="2"/>
        <v>0</v>
      </c>
      <c r="M40" s="150">
        <v>0</v>
      </c>
      <c r="N40" s="150">
        <v>0</v>
      </c>
      <c r="O40" s="150">
        <v>0</v>
      </c>
      <c r="P40" s="150"/>
      <c r="Q40" s="152">
        <f t="shared" si="7"/>
        <v>0</v>
      </c>
      <c r="R40" s="153"/>
      <c r="S40" s="153"/>
      <c r="T40" s="153"/>
      <c r="U40" s="153"/>
      <c r="V40" s="153"/>
      <c r="W40" s="153"/>
    </row>
    <row r="41" spans="1:23" s="95" customFormat="1" ht="14.25" hidden="1">
      <c r="A41" s="102" t="s">
        <v>143</v>
      </c>
      <c r="B41" s="359" t="s">
        <v>396</v>
      </c>
      <c r="C41" s="359"/>
      <c r="D41" s="359"/>
      <c r="E41" s="127" t="s">
        <v>397</v>
      </c>
      <c r="F41" s="154">
        <f>F42</f>
        <v>0</v>
      </c>
      <c r="G41" s="155">
        <f>G42</f>
        <v>0</v>
      </c>
      <c r="H41" s="155">
        <f aca="true" t="shared" si="10" ref="H41:Q41">H42</f>
        <v>0</v>
      </c>
      <c r="I41" s="155">
        <f t="shared" si="10"/>
        <v>0</v>
      </c>
      <c r="J41" s="155">
        <f t="shared" si="10"/>
        <v>0</v>
      </c>
      <c r="K41" s="155">
        <f t="shared" si="10"/>
        <v>0</v>
      </c>
      <c r="L41" s="118">
        <f t="shared" si="2"/>
        <v>0</v>
      </c>
      <c r="M41" s="155">
        <f t="shared" si="10"/>
        <v>0</v>
      </c>
      <c r="N41" s="155">
        <f t="shared" si="10"/>
        <v>0</v>
      </c>
      <c r="O41" s="155">
        <f t="shared" si="10"/>
        <v>0</v>
      </c>
      <c r="P41" s="155">
        <f t="shared" si="10"/>
        <v>0</v>
      </c>
      <c r="Q41" s="155">
        <f t="shared" si="10"/>
        <v>0</v>
      </c>
      <c r="R41" s="162"/>
      <c r="S41" s="162"/>
      <c r="T41" s="162"/>
      <c r="U41" s="162"/>
      <c r="V41" s="162"/>
      <c r="W41" s="162"/>
    </row>
    <row r="42" spans="1:23" s="76" customFormat="1" ht="24" hidden="1">
      <c r="A42" s="101" t="s">
        <v>144</v>
      </c>
      <c r="B42" s="359" t="s">
        <v>393</v>
      </c>
      <c r="C42" s="359"/>
      <c r="D42" s="359"/>
      <c r="E42" s="122" t="s">
        <v>394</v>
      </c>
      <c r="F42" s="156">
        <f>F43</f>
        <v>0</v>
      </c>
      <c r="G42" s="148">
        <f aca="true" t="shared" si="11" ref="G42:Q42">G43</f>
        <v>0</v>
      </c>
      <c r="H42" s="148">
        <f t="shared" si="11"/>
        <v>0</v>
      </c>
      <c r="I42" s="148">
        <f t="shared" si="11"/>
        <v>0</v>
      </c>
      <c r="J42" s="148">
        <f t="shared" si="11"/>
        <v>0</v>
      </c>
      <c r="K42" s="148">
        <f t="shared" si="11"/>
        <v>0</v>
      </c>
      <c r="L42" s="118">
        <f t="shared" si="2"/>
        <v>0</v>
      </c>
      <c r="M42" s="148">
        <f t="shared" si="11"/>
        <v>0</v>
      </c>
      <c r="N42" s="148">
        <f t="shared" si="11"/>
        <v>0</v>
      </c>
      <c r="O42" s="148">
        <f t="shared" si="11"/>
        <v>0</v>
      </c>
      <c r="P42" s="148">
        <f t="shared" si="11"/>
        <v>0</v>
      </c>
      <c r="Q42" s="148">
        <f t="shared" si="11"/>
        <v>0</v>
      </c>
      <c r="R42" s="159"/>
      <c r="S42" s="159"/>
      <c r="T42" s="159"/>
      <c r="U42" s="159"/>
      <c r="V42" s="159"/>
      <c r="W42" s="159"/>
    </row>
    <row r="43" spans="1:23" ht="24" hidden="1">
      <c r="A43" s="100" t="s">
        <v>145</v>
      </c>
      <c r="B43" s="121" t="s">
        <v>338</v>
      </c>
      <c r="C43" s="121" t="s">
        <v>339</v>
      </c>
      <c r="D43" s="121" t="s">
        <v>312</v>
      </c>
      <c r="E43" s="123" t="s">
        <v>311</v>
      </c>
      <c r="F43" s="154">
        <f t="shared" si="8"/>
        <v>0</v>
      </c>
      <c r="G43" s="155"/>
      <c r="H43" s="163">
        <v>0</v>
      </c>
      <c r="I43" s="163">
        <v>0</v>
      </c>
      <c r="J43" s="144"/>
      <c r="K43" s="144">
        <f t="shared" si="9"/>
        <v>0</v>
      </c>
      <c r="L43" s="118">
        <f t="shared" si="2"/>
        <v>0</v>
      </c>
      <c r="M43" s="163">
        <v>0</v>
      </c>
      <c r="N43" s="163">
        <v>0</v>
      </c>
      <c r="O43" s="163">
        <v>0</v>
      </c>
      <c r="P43" s="163">
        <v>0</v>
      </c>
      <c r="Q43" s="144">
        <f aca="true" t="shared" si="12" ref="Q43:Q74">F43+K43</f>
        <v>0</v>
      </c>
      <c r="R43" s="145"/>
      <c r="S43" s="145"/>
      <c r="T43" s="145"/>
      <c r="U43" s="145"/>
      <c r="V43" s="145"/>
      <c r="W43" s="145"/>
    </row>
    <row r="44" spans="1:23" ht="12.75" hidden="1">
      <c r="A44" s="100"/>
      <c r="B44" s="86"/>
      <c r="C44" s="86"/>
      <c r="D44" s="86"/>
      <c r="E44" s="10" t="s">
        <v>16</v>
      </c>
      <c r="F44" s="146">
        <f t="shared" si="8"/>
        <v>0</v>
      </c>
      <c r="G44" s="155"/>
      <c r="H44" s="163">
        <f aca="true" t="shared" si="13" ref="H44:P44">SUM(H45:H52)</f>
        <v>0</v>
      </c>
      <c r="I44" s="163">
        <f t="shared" si="13"/>
        <v>0</v>
      </c>
      <c r="J44" s="163"/>
      <c r="K44" s="163">
        <f t="shared" si="13"/>
        <v>0</v>
      </c>
      <c r="L44" s="118">
        <f t="shared" si="2"/>
        <v>0</v>
      </c>
      <c r="M44" s="163">
        <f t="shared" si="13"/>
        <v>0</v>
      </c>
      <c r="N44" s="163">
        <f t="shared" si="13"/>
        <v>0</v>
      </c>
      <c r="O44" s="163">
        <f t="shared" si="13"/>
        <v>0</v>
      </c>
      <c r="P44" s="163">
        <f t="shared" si="13"/>
        <v>0</v>
      </c>
      <c r="Q44" s="144">
        <f t="shared" si="12"/>
        <v>0</v>
      </c>
      <c r="R44" s="145"/>
      <c r="S44" s="145"/>
      <c r="T44" s="145"/>
      <c r="U44" s="145"/>
      <c r="V44" s="145"/>
      <c r="W44" s="145"/>
    </row>
    <row r="45" spans="1:23" ht="22.5" hidden="1">
      <c r="A45" s="100" t="s">
        <v>146</v>
      </c>
      <c r="B45" s="107" t="s">
        <v>146</v>
      </c>
      <c r="C45" s="83" t="s">
        <v>288</v>
      </c>
      <c r="D45" s="83"/>
      <c r="E45" s="9" t="s">
        <v>263</v>
      </c>
      <c r="F45" s="146">
        <f t="shared" si="8"/>
        <v>0</v>
      </c>
      <c r="G45" s="147"/>
      <c r="H45" s="82"/>
      <c r="I45" s="82"/>
      <c r="J45" s="118">
        <v>0</v>
      </c>
      <c r="K45" s="144">
        <f>M45+P45</f>
        <v>0</v>
      </c>
      <c r="L45" s="118">
        <f t="shared" si="2"/>
        <v>0</v>
      </c>
      <c r="M45" s="82"/>
      <c r="N45" s="82"/>
      <c r="O45" s="82"/>
      <c r="P45" s="82"/>
      <c r="Q45" s="144">
        <f t="shared" si="12"/>
        <v>0</v>
      </c>
      <c r="R45" s="145"/>
      <c r="S45" s="145"/>
      <c r="T45" s="145"/>
      <c r="U45" s="145"/>
      <c r="V45" s="145"/>
      <c r="W45" s="145"/>
    </row>
    <row r="46" spans="1:23" ht="12.75" hidden="1">
      <c r="A46" s="100" t="s">
        <v>147</v>
      </c>
      <c r="B46" s="107" t="s">
        <v>286</v>
      </c>
      <c r="C46" s="83" t="s">
        <v>289</v>
      </c>
      <c r="D46" s="83"/>
      <c r="E46" s="9" t="s">
        <v>264</v>
      </c>
      <c r="F46" s="146">
        <f t="shared" si="8"/>
        <v>0</v>
      </c>
      <c r="G46" s="164"/>
      <c r="H46" s="165">
        <v>0</v>
      </c>
      <c r="I46" s="165">
        <v>0</v>
      </c>
      <c r="J46" s="166">
        <v>0</v>
      </c>
      <c r="K46" s="144">
        <f>M46+P46</f>
        <v>0</v>
      </c>
      <c r="L46" s="118">
        <f t="shared" si="2"/>
        <v>0</v>
      </c>
      <c r="M46" s="165">
        <v>0</v>
      </c>
      <c r="N46" s="165">
        <v>0</v>
      </c>
      <c r="O46" s="165">
        <v>0</v>
      </c>
      <c r="P46" s="165">
        <v>0</v>
      </c>
      <c r="Q46" s="144">
        <f t="shared" si="12"/>
        <v>0</v>
      </c>
      <c r="R46" s="145"/>
      <c r="S46" s="145"/>
      <c r="T46" s="145"/>
      <c r="U46" s="145"/>
      <c r="V46" s="145"/>
      <c r="W46" s="145"/>
    </row>
    <row r="47" spans="1:23" ht="12.75" hidden="1">
      <c r="A47" s="100" t="s">
        <v>148</v>
      </c>
      <c r="B47" s="83"/>
      <c r="C47" s="83"/>
      <c r="D47" s="83"/>
      <c r="E47" s="5"/>
      <c r="F47" s="146">
        <f t="shared" si="8"/>
        <v>0</v>
      </c>
      <c r="G47" s="147"/>
      <c r="H47" s="82"/>
      <c r="I47" s="82"/>
      <c r="J47" s="118"/>
      <c r="K47" s="144">
        <f aca="true" t="shared" si="14" ref="K47:K54">M47+P47</f>
        <v>0</v>
      </c>
      <c r="L47" s="118">
        <f t="shared" si="2"/>
        <v>0</v>
      </c>
      <c r="M47" s="82">
        <v>0</v>
      </c>
      <c r="N47" s="82">
        <v>0</v>
      </c>
      <c r="O47" s="82">
        <v>0</v>
      </c>
      <c r="P47" s="82"/>
      <c r="Q47" s="144">
        <f t="shared" si="12"/>
        <v>0</v>
      </c>
      <c r="R47" s="145"/>
      <c r="S47" s="145"/>
      <c r="T47" s="145"/>
      <c r="U47" s="145"/>
      <c r="V47" s="145"/>
      <c r="W47" s="145"/>
    </row>
    <row r="48" spans="1:23" ht="22.5" hidden="1">
      <c r="A48" s="100" t="s">
        <v>149</v>
      </c>
      <c r="B48" s="83" t="s">
        <v>285</v>
      </c>
      <c r="C48" s="83" t="s">
        <v>239</v>
      </c>
      <c r="D48" s="83"/>
      <c r="E48" s="6" t="s">
        <v>21</v>
      </c>
      <c r="F48" s="146">
        <f t="shared" si="8"/>
        <v>0</v>
      </c>
      <c r="G48" s="147"/>
      <c r="H48" s="82"/>
      <c r="I48" s="82"/>
      <c r="J48" s="118"/>
      <c r="K48" s="144">
        <f t="shared" si="14"/>
        <v>0</v>
      </c>
      <c r="L48" s="118">
        <f t="shared" si="2"/>
        <v>0</v>
      </c>
      <c r="M48" s="82"/>
      <c r="N48" s="82"/>
      <c r="O48" s="82"/>
      <c r="P48" s="82"/>
      <c r="Q48" s="144">
        <f t="shared" si="12"/>
        <v>0</v>
      </c>
      <c r="R48" s="145"/>
      <c r="S48" s="145"/>
      <c r="T48" s="145"/>
      <c r="U48" s="145"/>
      <c r="V48" s="145"/>
      <c r="W48" s="145"/>
    </row>
    <row r="49" spans="1:23" ht="12.75" hidden="1">
      <c r="A49" s="100"/>
      <c r="B49" s="83" t="s">
        <v>265</v>
      </c>
      <c r="C49" s="83"/>
      <c r="D49" s="83"/>
      <c r="E49" s="5" t="s">
        <v>150</v>
      </c>
      <c r="F49" s="146">
        <f t="shared" si="8"/>
        <v>0</v>
      </c>
      <c r="G49" s="147"/>
      <c r="H49" s="82">
        <v>0</v>
      </c>
      <c r="I49" s="82">
        <v>0</v>
      </c>
      <c r="J49" s="118"/>
      <c r="K49" s="144">
        <f t="shared" si="14"/>
        <v>0</v>
      </c>
      <c r="L49" s="118">
        <f t="shared" si="2"/>
        <v>0</v>
      </c>
      <c r="M49" s="82"/>
      <c r="N49" s="82">
        <v>0</v>
      </c>
      <c r="O49" s="82">
        <v>0</v>
      </c>
      <c r="P49" s="82">
        <v>0</v>
      </c>
      <c r="Q49" s="144">
        <f t="shared" si="12"/>
        <v>0</v>
      </c>
      <c r="R49" s="145"/>
      <c r="S49" s="145"/>
      <c r="T49" s="145"/>
      <c r="U49" s="145"/>
      <c r="V49" s="145"/>
      <c r="W49" s="145"/>
    </row>
    <row r="50" spans="1:23" ht="22.5" hidden="1">
      <c r="A50" s="100" t="s">
        <v>151</v>
      </c>
      <c r="B50" s="83" t="s">
        <v>101</v>
      </c>
      <c r="C50" s="83"/>
      <c r="D50" s="83"/>
      <c r="E50" s="5" t="s">
        <v>102</v>
      </c>
      <c r="F50" s="146">
        <f t="shared" si="8"/>
        <v>0</v>
      </c>
      <c r="G50" s="147"/>
      <c r="H50" s="82">
        <v>0</v>
      </c>
      <c r="I50" s="82">
        <v>0</v>
      </c>
      <c r="J50" s="118"/>
      <c r="K50" s="144">
        <f t="shared" si="14"/>
        <v>0</v>
      </c>
      <c r="L50" s="118">
        <f t="shared" si="2"/>
        <v>0</v>
      </c>
      <c r="M50" s="82">
        <v>0</v>
      </c>
      <c r="N50" s="82">
        <v>0</v>
      </c>
      <c r="O50" s="82">
        <v>0</v>
      </c>
      <c r="P50" s="82">
        <f>8500-8500</f>
        <v>0</v>
      </c>
      <c r="Q50" s="144">
        <f t="shared" si="12"/>
        <v>0</v>
      </c>
      <c r="R50" s="145"/>
      <c r="S50" s="145"/>
      <c r="T50" s="145"/>
      <c r="U50" s="145"/>
      <c r="V50" s="145"/>
      <c r="W50" s="145"/>
    </row>
    <row r="51" spans="1:23" ht="22.5" hidden="1">
      <c r="A51" s="100" t="s">
        <v>152</v>
      </c>
      <c r="B51" s="83" t="s">
        <v>19</v>
      </c>
      <c r="C51" s="83"/>
      <c r="D51" s="83"/>
      <c r="E51" s="6" t="s">
        <v>21</v>
      </c>
      <c r="F51" s="146">
        <f t="shared" si="8"/>
        <v>0</v>
      </c>
      <c r="G51" s="147"/>
      <c r="H51" s="82">
        <v>0</v>
      </c>
      <c r="I51" s="82">
        <v>0</v>
      </c>
      <c r="J51" s="118"/>
      <c r="K51" s="144">
        <f t="shared" si="14"/>
        <v>0</v>
      </c>
      <c r="L51" s="118">
        <f t="shared" si="2"/>
        <v>0</v>
      </c>
      <c r="M51" s="82">
        <v>0</v>
      </c>
      <c r="N51" s="82">
        <v>0</v>
      </c>
      <c r="O51" s="82">
        <v>0</v>
      </c>
      <c r="P51" s="82">
        <v>0</v>
      </c>
      <c r="Q51" s="144">
        <f t="shared" si="12"/>
        <v>0</v>
      </c>
      <c r="R51" s="145"/>
      <c r="S51" s="145"/>
      <c r="T51" s="145"/>
      <c r="U51" s="145"/>
      <c r="V51" s="145"/>
      <c r="W51" s="145"/>
    </row>
    <row r="52" spans="1:23" ht="12.75" hidden="1">
      <c r="A52" s="100"/>
      <c r="B52" s="83" t="s">
        <v>47</v>
      </c>
      <c r="C52" s="83"/>
      <c r="D52" s="83"/>
      <c r="E52" s="6" t="s">
        <v>48</v>
      </c>
      <c r="F52" s="146">
        <f t="shared" si="8"/>
        <v>0</v>
      </c>
      <c r="G52" s="147"/>
      <c r="H52" s="82">
        <v>0</v>
      </c>
      <c r="I52" s="82">
        <v>0</v>
      </c>
      <c r="J52" s="118"/>
      <c r="K52" s="144">
        <f t="shared" si="14"/>
        <v>0</v>
      </c>
      <c r="L52" s="118">
        <f t="shared" si="2"/>
        <v>0</v>
      </c>
      <c r="M52" s="82">
        <v>0</v>
      </c>
      <c r="N52" s="82">
        <v>0</v>
      </c>
      <c r="O52" s="82">
        <v>0</v>
      </c>
      <c r="P52" s="82">
        <f>180000-180000</f>
        <v>0</v>
      </c>
      <c r="Q52" s="144">
        <f t="shared" si="12"/>
        <v>0</v>
      </c>
      <c r="R52" s="145"/>
      <c r="S52" s="145"/>
      <c r="T52" s="145"/>
      <c r="U52" s="145"/>
      <c r="V52" s="145"/>
      <c r="W52" s="145"/>
    </row>
    <row r="53" spans="1:23" ht="12.75" hidden="1">
      <c r="A53" s="100"/>
      <c r="B53" s="83"/>
      <c r="C53" s="83"/>
      <c r="D53" s="83"/>
      <c r="E53" s="4" t="s">
        <v>33</v>
      </c>
      <c r="F53" s="146">
        <f t="shared" si="8"/>
        <v>0</v>
      </c>
      <c r="G53" s="155"/>
      <c r="H53" s="163" t="e">
        <f>H54+#REF!</f>
        <v>#REF!</v>
      </c>
      <c r="I53" s="163" t="e">
        <f>I54+#REF!</f>
        <v>#REF!</v>
      </c>
      <c r="J53" s="144"/>
      <c r="K53" s="144" t="e">
        <f t="shared" si="14"/>
        <v>#REF!</v>
      </c>
      <c r="L53" s="118" t="e">
        <f t="shared" si="2"/>
        <v>#REF!</v>
      </c>
      <c r="M53" s="163" t="e">
        <f>M54+#REF!</f>
        <v>#REF!</v>
      </c>
      <c r="N53" s="163" t="e">
        <f>N54+#REF!</f>
        <v>#REF!</v>
      </c>
      <c r="O53" s="163" t="e">
        <f>O54+#REF!</f>
        <v>#REF!</v>
      </c>
      <c r="P53" s="163" t="e">
        <f>P54+#REF!</f>
        <v>#REF!</v>
      </c>
      <c r="Q53" s="144" t="e">
        <f t="shared" si="12"/>
        <v>#REF!</v>
      </c>
      <c r="R53" s="145"/>
      <c r="S53" s="145"/>
      <c r="T53" s="145"/>
      <c r="U53" s="145"/>
      <c r="V53" s="145"/>
      <c r="W53" s="145"/>
    </row>
    <row r="54" spans="1:23" ht="12.75" hidden="1">
      <c r="A54" s="100"/>
      <c r="B54" s="83" t="s">
        <v>17</v>
      </c>
      <c r="C54" s="83"/>
      <c r="D54" s="83"/>
      <c r="E54" s="11" t="s">
        <v>18</v>
      </c>
      <c r="F54" s="146">
        <f t="shared" si="8"/>
        <v>0</v>
      </c>
      <c r="G54" s="164"/>
      <c r="H54" s="165"/>
      <c r="I54" s="165"/>
      <c r="J54" s="165"/>
      <c r="K54" s="163">
        <f t="shared" si="14"/>
        <v>0</v>
      </c>
      <c r="L54" s="118">
        <f t="shared" si="2"/>
        <v>0</v>
      </c>
      <c r="M54" s="165"/>
      <c r="N54" s="165"/>
      <c r="O54" s="165">
        <v>0</v>
      </c>
      <c r="P54" s="165"/>
      <c r="Q54" s="144">
        <f t="shared" si="12"/>
        <v>0</v>
      </c>
      <c r="R54" s="145"/>
      <c r="S54" s="145"/>
      <c r="T54" s="145"/>
      <c r="U54" s="145"/>
      <c r="V54" s="145"/>
      <c r="W54" s="145"/>
    </row>
    <row r="55" spans="1:23" ht="12.75" hidden="1">
      <c r="A55" s="100"/>
      <c r="B55" s="83"/>
      <c r="C55" s="83"/>
      <c r="D55" s="83"/>
      <c r="E55" s="11"/>
      <c r="F55" s="146">
        <f t="shared" si="8"/>
        <v>0</v>
      </c>
      <c r="G55" s="164"/>
      <c r="H55" s="165"/>
      <c r="I55" s="165"/>
      <c r="J55" s="165"/>
      <c r="K55" s="163"/>
      <c r="L55" s="118">
        <f t="shared" si="2"/>
        <v>0</v>
      </c>
      <c r="M55" s="165"/>
      <c r="N55" s="165"/>
      <c r="O55" s="165"/>
      <c r="P55" s="165"/>
      <c r="Q55" s="144">
        <f t="shared" si="12"/>
        <v>0</v>
      </c>
      <c r="R55" s="145"/>
      <c r="S55" s="145"/>
      <c r="T55" s="145"/>
      <c r="U55" s="145"/>
      <c r="V55" s="145"/>
      <c r="W55" s="145"/>
    </row>
    <row r="56" spans="1:23" ht="12.75">
      <c r="A56" s="102" t="s">
        <v>153</v>
      </c>
      <c r="B56" s="121" t="s">
        <v>572</v>
      </c>
      <c r="C56" s="121" t="s">
        <v>569</v>
      </c>
      <c r="D56" s="121" t="s">
        <v>319</v>
      </c>
      <c r="E56" s="117" t="s">
        <v>318</v>
      </c>
      <c r="F56" s="146">
        <f t="shared" si="8"/>
        <v>220</v>
      </c>
      <c r="G56" s="147">
        <v>220</v>
      </c>
      <c r="H56" s="82">
        <v>0</v>
      </c>
      <c r="I56" s="82">
        <v>0</v>
      </c>
      <c r="J56" s="82"/>
      <c r="K56" s="163">
        <v>0</v>
      </c>
      <c r="L56" s="118">
        <f t="shared" si="2"/>
        <v>0</v>
      </c>
      <c r="M56" s="82">
        <v>0</v>
      </c>
      <c r="N56" s="82">
        <v>0</v>
      </c>
      <c r="O56" s="82">
        <v>0</v>
      </c>
      <c r="P56" s="82">
        <v>0</v>
      </c>
      <c r="Q56" s="144">
        <f t="shared" si="12"/>
        <v>220</v>
      </c>
      <c r="R56" s="145"/>
      <c r="S56" s="145"/>
      <c r="T56" s="145"/>
      <c r="U56" s="145"/>
      <c r="V56" s="145"/>
      <c r="W56" s="145"/>
    </row>
    <row r="57" spans="1:23" s="76" customFormat="1" ht="28.5">
      <c r="A57" s="101"/>
      <c r="B57" s="376" t="s">
        <v>325</v>
      </c>
      <c r="C57" s="377"/>
      <c r="D57" s="378"/>
      <c r="E57" s="18" t="s">
        <v>585</v>
      </c>
      <c r="F57" s="233">
        <f>F58+F60+F61+F62+F63+F64+F65+F66+F67+F68+F96+F98</f>
        <v>43339960</v>
      </c>
      <c r="G57" s="233">
        <f>G58+G60+G61+G62+G63+G64+G65+G66+G67+G68+G96+G98</f>
        <v>43339960</v>
      </c>
      <c r="H57" s="233">
        <f>H58+H60+H61+H62+H63+H64+H65+H66+H67+H68+H96+H98</f>
        <v>28538100</v>
      </c>
      <c r="I57" s="233">
        <f>I58+I60+I61+I62+I63+I64+I65+I66+I67+I68+I96+I98</f>
        <v>5258660</v>
      </c>
      <c r="J57" s="233">
        <f>J58+J60+J61+J62+J63+J64+J65+J66+J67+J68+J96+J98</f>
        <v>0</v>
      </c>
      <c r="K57" s="233">
        <f aca="true" t="shared" si="15" ref="K57:P57">K58+K60+K61+K62+K63+K64+K65+K66+K67+K68+K96+K98+K116+K114</f>
        <v>6131089.55</v>
      </c>
      <c r="L57" s="233">
        <f t="shared" si="15"/>
        <v>5350339.55</v>
      </c>
      <c r="M57" s="233">
        <f t="shared" si="15"/>
        <v>780750</v>
      </c>
      <c r="N57" s="233">
        <f t="shared" si="15"/>
        <v>0</v>
      </c>
      <c r="O57" s="233">
        <f t="shared" si="15"/>
        <v>0</v>
      </c>
      <c r="P57" s="233">
        <f t="shared" si="15"/>
        <v>5350339.55</v>
      </c>
      <c r="Q57" s="251">
        <f>F57+K57</f>
        <v>49471049.55</v>
      </c>
      <c r="R57" s="159"/>
      <c r="S57" s="159"/>
      <c r="T57" s="159"/>
      <c r="U57" s="159"/>
      <c r="V57" s="159"/>
      <c r="W57" s="159"/>
    </row>
    <row r="58" spans="1:23" s="76" customFormat="1" ht="60">
      <c r="A58" s="101"/>
      <c r="B58" s="124" t="s">
        <v>340</v>
      </c>
      <c r="C58" s="124" t="s">
        <v>290</v>
      </c>
      <c r="D58" s="124" t="s">
        <v>228</v>
      </c>
      <c r="E58" s="128" t="s">
        <v>266</v>
      </c>
      <c r="F58" s="160">
        <f aca="true" t="shared" si="16" ref="F58:F68">G58+J58</f>
        <v>36377960</v>
      </c>
      <c r="G58" s="148">
        <f>34874100+25253-56100+26200+431600+1000000+552300+16944-6222-1000000+1000000+5700-1000000+42245+51000+21000+21840+21000+60000-40000-20000+180000+5000+16200+3000+46900+100000</f>
        <v>36377960</v>
      </c>
      <c r="H58" s="148">
        <f>23128900+353800+452800+15600</f>
        <v>23951100</v>
      </c>
      <c r="I58" s="148">
        <f>4415800+18000+100000</f>
        <v>4533800</v>
      </c>
      <c r="J58" s="148">
        <v>0</v>
      </c>
      <c r="K58" s="251">
        <f aca="true" t="shared" si="17" ref="K58:K68">M58+P58</f>
        <v>5875985.55</v>
      </c>
      <c r="L58" s="250">
        <f>P58</f>
        <v>5097235.55</v>
      </c>
      <c r="M58" s="148">
        <f>778750</f>
        <v>778750</v>
      </c>
      <c r="N58" s="148">
        <v>0</v>
      </c>
      <c r="O58" s="148">
        <v>0</v>
      </c>
      <c r="P58" s="234">
        <f>100000+592050.27+1028004.28-134760+382524+6222+1000000+42600+180000-1000000+718475+1000000+60000+30000+30000+42000+180000-180000+419000+7200+573920+20000+46900-46900</f>
        <v>5097235.55</v>
      </c>
      <c r="Q58" s="251">
        <f t="shared" si="12"/>
        <v>42253945.55</v>
      </c>
      <c r="R58" s="159"/>
      <c r="S58" s="159"/>
      <c r="T58" s="159"/>
      <c r="U58" s="159"/>
      <c r="V58" s="159"/>
      <c r="W58" s="159"/>
    </row>
    <row r="59" spans="1:23" s="76" customFormat="1" ht="12.75" hidden="1">
      <c r="A59" s="101"/>
      <c r="B59" s="124"/>
      <c r="C59" s="124" t="s">
        <v>228</v>
      </c>
      <c r="D59" s="124"/>
      <c r="E59" s="128" t="s">
        <v>22</v>
      </c>
      <c r="F59" s="160">
        <f t="shared" si="16"/>
        <v>0</v>
      </c>
      <c r="G59" s="191"/>
      <c r="H59" s="191"/>
      <c r="I59" s="191"/>
      <c r="J59" s="191">
        <v>0</v>
      </c>
      <c r="K59" s="161">
        <f t="shared" si="17"/>
        <v>0</v>
      </c>
      <c r="L59" s="118">
        <f t="shared" si="2"/>
        <v>0</v>
      </c>
      <c r="M59" s="191">
        <v>0</v>
      </c>
      <c r="N59" s="191">
        <v>0</v>
      </c>
      <c r="O59" s="191">
        <v>0</v>
      </c>
      <c r="P59" s="191">
        <v>0</v>
      </c>
      <c r="Q59" s="161">
        <f t="shared" si="12"/>
        <v>0</v>
      </c>
      <c r="R59" s="159"/>
      <c r="S59" s="159"/>
      <c r="T59" s="159"/>
      <c r="U59" s="159"/>
      <c r="V59" s="159"/>
      <c r="W59" s="159"/>
    </row>
    <row r="60" spans="1:23" s="76" customFormat="1" ht="36">
      <c r="A60" s="101"/>
      <c r="B60" s="124" t="s">
        <v>341</v>
      </c>
      <c r="C60" s="124" t="s">
        <v>291</v>
      </c>
      <c r="D60" s="124" t="s">
        <v>297</v>
      </c>
      <c r="E60" s="128" t="s">
        <v>267</v>
      </c>
      <c r="F60" s="160">
        <f t="shared" si="16"/>
        <v>840600</v>
      </c>
      <c r="G60" s="148">
        <v>840600</v>
      </c>
      <c r="H60" s="148">
        <f>625000-2600</f>
        <v>622400</v>
      </c>
      <c r="I60" s="148">
        <v>8300</v>
      </c>
      <c r="J60" s="148">
        <v>0</v>
      </c>
      <c r="K60" s="161">
        <f t="shared" si="17"/>
        <v>12000</v>
      </c>
      <c r="L60" s="118">
        <f t="shared" si="2"/>
        <v>12000</v>
      </c>
      <c r="M60" s="148">
        <v>0</v>
      </c>
      <c r="N60" s="148">
        <v>0</v>
      </c>
      <c r="O60" s="148">
        <v>0</v>
      </c>
      <c r="P60" s="148">
        <v>12000</v>
      </c>
      <c r="Q60" s="161">
        <f t="shared" si="12"/>
        <v>852600</v>
      </c>
      <c r="R60" s="159"/>
      <c r="S60" s="159"/>
      <c r="T60" s="159"/>
      <c r="U60" s="159"/>
      <c r="V60" s="159"/>
      <c r="W60" s="159"/>
    </row>
    <row r="61" spans="1:23" s="76" customFormat="1" ht="48">
      <c r="A61" s="101"/>
      <c r="B61" s="131" t="s">
        <v>582</v>
      </c>
      <c r="C61" s="139">
        <v>1100</v>
      </c>
      <c r="D61" s="131" t="s">
        <v>297</v>
      </c>
      <c r="E61" s="194" t="s">
        <v>430</v>
      </c>
      <c r="F61" s="233">
        <f t="shared" si="16"/>
        <v>442100</v>
      </c>
      <c r="G61" s="234">
        <f>302100+419400-279400</f>
        <v>442100</v>
      </c>
      <c r="H61" s="234">
        <f>248000+343800-228400</f>
        <v>363400</v>
      </c>
      <c r="I61" s="234">
        <v>0</v>
      </c>
      <c r="J61" s="148">
        <v>0</v>
      </c>
      <c r="K61" s="161">
        <f t="shared" si="17"/>
        <v>0</v>
      </c>
      <c r="L61" s="118">
        <f t="shared" si="2"/>
        <v>0</v>
      </c>
      <c r="M61" s="148">
        <v>0</v>
      </c>
      <c r="N61" s="148">
        <v>0</v>
      </c>
      <c r="O61" s="148">
        <v>0</v>
      </c>
      <c r="P61" s="148">
        <v>0</v>
      </c>
      <c r="Q61" s="161">
        <f t="shared" si="12"/>
        <v>442100</v>
      </c>
      <c r="R61" s="159"/>
      <c r="S61" s="159"/>
      <c r="T61" s="159"/>
      <c r="U61" s="159"/>
      <c r="V61" s="159"/>
      <c r="W61" s="159"/>
    </row>
    <row r="62" spans="1:23" s="76" customFormat="1" ht="24">
      <c r="A62" s="101"/>
      <c r="B62" s="124" t="s">
        <v>343</v>
      </c>
      <c r="C62" s="124" t="s">
        <v>344</v>
      </c>
      <c r="D62" s="124" t="s">
        <v>298</v>
      </c>
      <c r="E62" s="128" t="s">
        <v>342</v>
      </c>
      <c r="F62" s="160">
        <f t="shared" si="16"/>
        <v>762700</v>
      </c>
      <c r="G62" s="148">
        <v>762700</v>
      </c>
      <c r="H62" s="148">
        <v>587800</v>
      </c>
      <c r="I62" s="148">
        <v>22620</v>
      </c>
      <c r="J62" s="148">
        <v>0</v>
      </c>
      <c r="K62" s="161">
        <f t="shared" si="17"/>
        <v>0</v>
      </c>
      <c r="L62" s="118">
        <f t="shared" si="2"/>
        <v>0</v>
      </c>
      <c r="M62" s="148">
        <v>0</v>
      </c>
      <c r="N62" s="148">
        <v>0</v>
      </c>
      <c r="O62" s="148">
        <v>0</v>
      </c>
      <c r="P62" s="148">
        <v>0</v>
      </c>
      <c r="Q62" s="161">
        <f t="shared" si="12"/>
        <v>762700</v>
      </c>
      <c r="R62" s="159"/>
      <c r="S62" s="159"/>
      <c r="T62" s="159"/>
      <c r="U62" s="159"/>
      <c r="V62" s="159"/>
      <c r="W62" s="159"/>
    </row>
    <row r="63" spans="1:23" s="76" customFormat="1" ht="24">
      <c r="A63" s="101"/>
      <c r="B63" s="124" t="s">
        <v>424</v>
      </c>
      <c r="C63" s="124" t="s">
        <v>425</v>
      </c>
      <c r="D63" s="124" t="s">
        <v>298</v>
      </c>
      <c r="E63" s="128" t="s">
        <v>428</v>
      </c>
      <c r="F63" s="160">
        <f t="shared" si="16"/>
        <v>1649600</v>
      </c>
      <c r="G63" s="191">
        <f>1571500+56100+2000+20000</f>
        <v>1649600</v>
      </c>
      <c r="H63" s="191">
        <f>1082800+16300</f>
        <v>1099100</v>
      </c>
      <c r="I63" s="191">
        <f>175300+5000+2000</f>
        <v>182300</v>
      </c>
      <c r="J63" s="191">
        <v>0</v>
      </c>
      <c r="K63" s="161">
        <f t="shared" si="17"/>
        <v>0</v>
      </c>
      <c r="L63" s="118">
        <f t="shared" si="2"/>
        <v>0</v>
      </c>
      <c r="M63" s="148">
        <v>0</v>
      </c>
      <c r="N63" s="148">
        <v>0</v>
      </c>
      <c r="O63" s="148">
        <v>0</v>
      </c>
      <c r="P63" s="148">
        <v>0</v>
      </c>
      <c r="Q63" s="161">
        <f t="shared" si="12"/>
        <v>1649600</v>
      </c>
      <c r="R63" s="159"/>
      <c r="S63" s="159"/>
      <c r="T63" s="159"/>
      <c r="U63" s="159"/>
      <c r="V63" s="159"/>
      <c r="W63" s="159"/>
    </row>
    <row r="64" spans="1:23" s="76" customFormat="1" ht="0.75" customHeight="1" hidden="1">
      <c r="A64" s="101"/>
      <c r="B64" s="124" t="s">
        <v>426</v>
      </c>
      <c r="C64" s="124" t="s">
        <v>427</v>
      </c>
      <c r="D64" s="124" t="s">
        <v>298</v>
      </c>
      <c r="E64" s="128" t="s">
        <v>429</v>
      </c>
      <c r="F64" s="160">
        <f t="shared" si="16"/>
        <v>0</v>
      </c>
      <c r="G64" s="148">
        <v>0</v>
      </c>
      <c r="H64" s="148">
        <v>0</v>
      </c>
      <c r="I64" s="148">
        <v>0</v>
      </c>
      <c r="J64" s="148">
        <v>0</v>
      </c>
      <c r="K64" s="161">
        <f t="shared" si="17"/>
        <v>0</v>
      </c>
      <c r="L64" s="118">
        <f t="shared" si="2"/>
        <v>0</v>
      </c>
      <c r="M64" s="148">
        <v>0</v>
      </c>
      <c r="N64" s="148">
        <v>0</v>
      </c>
      <c r="O64" s="148">
        <v>0</v>
      </c>
      <c r="P64" s="148"/>
      <c r="Q64" s="161">
        <f t="shared" si="12"/>
        <v>0</v>
      </c>
      <c r="R64" s="159"/>
      <c r="S64" s="159"/>
      <c r="T64" s="159"/>
      <c r="U64" s="159"/>
      <c r="V64" s="159"/>
      <c r="W64" s="159"/>
    </row>
    <row r="65" spans="1:23" s="76" customFormat="1" ht="12.75" hidden="1">
      <c r="A65" s="101"/>
      <c r="B65" s="124" t="s">
        <v>348</v>
      </c>
      <c r="C65" s="108" t="s">
        <v>349</v>
      </c>
      <c r="D65" s="108" t="s">
        <v>350</v>
      </c>
      <c r="E65" s="125" t="s">
        <v>351</v>
      </c>
      <c r="F65" s="160">
        <f t="shared" si="16"/>
        <v>0</v>
      </c>
      <c r="G65" s="148">
        <v>0</v>
      </c>
      <c r="H65" s="148">
        <v>0</v>
      </c>
      <c r="I65" s="148">
        <v>0</v>
      </c>
      <c r="J65" s="148">
        <v>0</v>
      </c>
      <c r="K65" s="161">
        <f t="shared" si="17"/>
        <v>0</v>
      </c>
      <c r="L65" s="118">
        <f t="shared" si="2"/>
        <v>0</v>
      </c>
      <c r="M65" s="148">
        <v>0</v>
      </c>
      <c r="N65" s="148">
        <v>0</v>
      </c>
      <c r="O65" s="148">
        <v>0</v>
      </c>
      <c r="P65" s="148"/>
      <c r="Q65" s="161">
        <f t="shared" si="12"/>
        <v>0</v>
      </c>
      <c r="R65" s="159"/>
      <c r="S65" s="159"/>
      <c r="T65" s="159"/>
      <c r="U65" s="159"/>
      <c r="V65" s="159"/>
      <c r="W65" s="159"/>
    </row>
    <row r="66" spans="1:23" s="76" customFormat="1" ht="48" hidden="1">
      <c r="A66" s="101"/>
      <c r="B66" s="124" t="s">
        <v>555</v>
      </c>
      <c r="C66" s="108" t="s">
        <v>556</v>
      </c>
      <c r="D66" s="108" t="s">
        <v>230</v>
      </c>
      <c r="E66" s="125" t="s">
        <v>561</v>
      </c>
      <c r="F66" s="160">
        <f t="shared" si="16"/>
        <v>0</v>
      </c>
      <c r="G66" s="148">
        <v>0</v>
      </c>
      <c r="H66" s="148">
        <v>0</v>
      </c>
      <c r="I66" s="148">
        <v>0</v>
      </c>
      <c r="J66" s="148">
        <v>0</v>
      </c>
      <c r="K66" s="161">
        <f t="shared" si="17"/>
        <v>0</v>
      </c>
      <c r="L66" s="118">
        <f t="shared" si="2"/>
        <v>0</v>
      </c>
      <c r="M66" s="148">
        <v>0</v>
      </c>
      <c r="N66" s="148">
        <v>0</v>
      </c>
      <c r="O66" s="148">
        <v>0</v>
      </c>
      <c r="P66" s="148"/>
      <c r="Q66" s="161">
        <f t="shared" si="12"/>
        <v>0</v>
      </c>
      <c r="R66" s="159"/>
      <c r="S66" s="159"/>
      <c r="T66" s="159"/>
      <c r="U66" s="159"/>
      <c r="V66" s="159"/>
      <c r="W66" s="159"/>
    </row>
    <row r="67" spans="1:23" s="76" customFormat="1" ht="36">
      <c r="A67" s="101"/>
      <c r="B67" s="131" t="s">
        <v>353</v>
      </c>
      <c r="C67" s="131" t="s">
        <v>302</v>
      </c>
      <c r="D67" s="131" t="s">
        <v>235</v>
      </c>
      <c r="E67" s="128" t="s">
        <v>269</v>
      </c>
      <c r="F67" s="160">
        <f t="shared" si="16"/>
        <v>834400</v>
      </c>
      <c r="G67" s="148">
        <f>730200+62200+42000</f>
        <v>834400</v>
      </c>
      <c r="H67" s="148">
        <f>568000+10000</f>
        <v>578000</v>
      </c>
      <c r="I67" s="148">
        <v>920</v>
      </c>
      <c r="J67" s="148">
        <v>0</v>
      </c>
      <c r="K67" s="161">
        <f t="shared" si="17"/>
        <v>0</v>
      </c>
      <c r="L67" s="118">
        <f t="shared" si="2"/>
        <v>0</v>
      </c>
      <c r="M67" s="148">
        <v>0</v>
      </c>
      <c r="N67" s="148">
        <v>0</v>
      </c>
      <c r="O67" s="148">
        <v>0</v>
      </c>
      <c r="P67" s="148">
        <f>72806-43300-29506</f>
        <v>0</v>
      </c>
      <c r="Q67" s="161">
        <f t="shared" si="12"/>
        <v>834400</v>
      </c>
      <c r="R67" s="159"/>
      <c r="S67" s="159"/>
      <c r="T67" s="159"/>
      <c r="U67" s="159"/>
      <c r="V67" s="159"/>
      <c r="W67" s="159"/>
    </row>
    <row r="68" spans="1:23" s="76" customFormat="1" ht="36">
      <c r="A68" s="101"/>
      <c r="B68" s="131" t="s">
        <v>354</v>
      </c>
      <c r="C68" s="131" t="s">
        <v>303</v>
      </c>
      <c r="D68" s="131" t="s">
        <v>235</v>
      </c>
      <c r="E68" s="128" t="s">
        <v>355</v>
      </c>
      <c r="F68" s="160">
        <f t="shared" si="16"/>
        <v>74500</v>
      </c>
      <c r="G68" s="148">
        <v>74500</v>
      </c>
      <c r="H68" s="148">
        <v>0</v>
      </c>
      <c r="I68" s="148">
        <v>0</v>
      </c>
      <c r="J68" s="148">
        <v>0</v>
      </c>
      <c r="K68" s="161">
        <f t="shared" si="17"/>
        <v>0</v>
      </c>
      <c r="L68" s="118">
        <f t="shared" si="2"/>
        <v>0</v>
      </c>
      <c r="M68" s="148">
        <v>0</v>
      </c>
      <c r="N68" s="148">
        <v>0</v>
      </c>
      <c r="O68" s="148">
        <v>0</v>
      </c>
      <c r="P68" s="148">
        <v>0</v>
      </c>
      <c r="Q68" s="161">
        <f t="shared" si="12"/>
        <v>74500</v>
      </c>
      <c r="R68" s="159"/>
      <c r="S68" s="159"/>
      <c r="T68" s="159"/>
      <c r="U68" s="159"/>
      <c r="V68" s="159"/>
      <c r="W68" s="159"/>
    </row>
    <row r="69" spans="1:23" s="76" customFormat="1" ht="12.75" hidden="1">
      <c r="A69" s="101"/>
      <c r="B69" s="124"/>
      <c r="C69" s="108"/>
      <c r="D69" s="108"/>
      <c r="E69" s="128"/>
      <c r="F69" s="160">
        <f aca="true" t="shared" si="18" ref="F69:F100">G69+J69</f>
        <v>0</v>
      </c>
      <c r="G69" s="148"/>
      <c r="H69" s="148"/>
      <c r="I69" s="148"/>
      <c r="J69" s="148"/>
      <c r="K69" s="161">
        <f aca="true" t="shared" si="19" ref="K69:K100">M69+P69</f>
        <v>0</v>
      </c>
      <c r="L69" s="118">
        <f t="shared" si="2"/>
        <v>0</v>
      </c>
      <c r="M69" s="148"/>
      <c r="N69" s="148"/>
      <c r="O69" s="148"/>
      <c r="P69" s="148"/>
      <c r="Q69" s="158">
        <f t="shared" si="12"/>
        <v>0</v>
      </c>
      <c r="R69" s="159"/>
      <c r="S69" s="159"/>
      <c r="T69" s="159"/>
      <c r="U69" s="159"/>
      <c r="V69" s="159"/>
      <c r="W69" s="159"/>
    </row>
    <row r="70" spans="1:23" s="76" customFormat="1" ht="12.75" hidden="1">
      <c r="A70" s="101"/>
      <c r="B70" s="124"/>
      <c r="C70" s="108"/>
      <c r="D70" s="108"/>
      <c r="E70" s="128"/>
      <c r="F70" s="160">
        <f t="shared" si="18"/>
        <v>0</v>
      </c>
      <c r="G70" s="148"/>
      <c r="H70" s="148"/>
      <c r="I70" s="148"/>
      <c r="J70" s="148"/>
      <c r="K70" s="161">
        <f t="shared" si="19"/>
        <v>0</v>
      </c>
      <c r="L70" s="118">
        <f t="shared" si="2"/>
        <v>0</v>
      </c>
      <c r="M70" s="148"/>
      <c r="N70" s="148"/>
      <c r="O70" s="148"/>
      <c r="P70" s="148"/>
      <c r="Q70" s="158">
        <f t="shared" si="12"/>
        <v>0</v>
      </c>
      <c r="R70" s="159"/>
      <c r="S70" s="159"/>
      <c r="T70" s="159"/>
      <c r="U70" s="159"/>
      <c r="V70" s="159"/>
      <c r="W70" s="159"/>
    </row>
    <row r="71" spans="1:23" s="76" customFormat="1" ht="12.75" hidden="1">
      <c r="A71" s="101"/>
      <c r="B71" s="124"/>
      <c r="C71" s="108"/>
      <c r="D71" s="108"/>
      <c r="E71" s="128"/>
      <c r="F71" s="160">
        <f t="shared" si="18"/>
        <v>0</v>
      </c>
      <c r="G71" s="148"/>
      <c r="H71" s="148"/>
      <c r="I71" s="148"/>
      <c r="J71" s="148"/>
      <c r="K71" s="161">
        <f t="shared" si="19"/>
        <v>0</v>
      </c>
      <c r="L71" s="118">
        <f t="shared" si="2"/>
        <v>0</v>
      </c>
      <c r="M71" s="148"/>
      <c r="N71" s="148"/>
      <c r="O71" s="148"/>
      <c r="P71" s="148"/>
      <c r="Q71" s="158">
        <f t="shared" si="12"/>
        <v>0</v>
      </c>
      <c r="R71" s="159"/>
      <c r="S71" s="159"/>
      <c r="T71" s="159"/>
      <c r="U71" s="159"/>
      <c r="V71" s="159"/>
      <c r="W71" s="159"/>
    </row>
    <row r="72" spans="1:23" s="76" customFormat="1" ht="12.75" hidden="1">
      <c r="A72" s="101"/>
      <c r="B72" s="124"/>
      <c r="C72" s="108"/>
      <c r="D72" s="108"/>
      <c r="E72" s="128"/>
      <c r="F72" s="160">
        <f t="shared" si="18"/>
        <v>0</v>
      </c>
      <c r="G72" s="148"/>
      <c r="H72" s="148"/>
      <c r="I72" s="148"/>
      <c r="J72" s="148"/>
      <c r="K72" s="161">
        <f t="shared" si="19"/>
        <v>0</v>
      </c>
      <c r="L72" s="118">
        <f t="shared" si="2"/>
        <v>0</v>
      </c>
      <c r="M72" s="148"/>
      <c r="N72" s="148"/>
      <c r="O72" s="148"/>
      <c r="P72" s="148"/>
      <c r="Q72" s="158">
        <f t="shared" si="12"/>
        <v>0</v>
      </c>
      <c r="R72" s="159"/>
      <c r="S72" s="159"/>
      <c r="T72" s="159"/>
      <c r="U72" s="159"/>
      <c r="V72" s="159"/>
      <c r="W72" s="159"/>
    </row>
    <row r="73" spans="1:23" s="76" customFormat="1" ht="12.75" hidden="1">
      <c r="A73" s="101"/>
      <c r="B73" s="124"/>
      <c r="C73" s="108"/>
      <c r="D73" s="108"/>
      <c r="E73" s="128"/>
      <c r="F73" s="160">
        <f t="shared" si="18"/>
        <v>0</v>
      </c>
      <c r="G73" s="148"/>
      <c r="H73" s="148"/>
      <c r="I73" s="148"/>
      <c r="J73" s="148"/>
      <c r="K73" s="161">
        <f t="shared" si="19"/>
        <v>0</v>
      </c>
      <c r="L73" s="118">
        <f t="shared" si="2"/>
        <v>0</v>
      </c>
      <c r="M73" s="148"/>
      <c r="N73" s="148"/>
      <c r="O73" s="148"/>
      <c r="P73" s="148"/>
      <c r="Q73" s="158">
        <f t="shared" si="12"/>
        <v>0</v>
      </c>
      <c r="R73" s="159"/>
      <c r="S73" s="159"/>
      <c r="T73" s="159"/>
      <c r="U73" s="159"/>
      <c r="V73" s="159"/>
      <c r="W73" s="159"/>
    </row>
    <row r="74" spans="1:23" s="76" customFormat="1" ht="12.75" hidden="1">
      <c r="A74" s="101"/>
      <c r="B74" s="124"/>
      <c r="C74" s="108"/>
      <c r="D74" s="108"/>
      <c r="E74" s="128"/>
      <c r="F74" s="160">
        <f t="shared" si="18"/>
        <v>0</v>
      </c>
      <c r="G74" s="148"/>
      <c r="H74" s="148"/>
      <c r="I74" s="148"/>
      <c r="J74" s="148"/>
      <c r="K74" s="161">
        <f t="shared" si="19"/>
        <v>0</v>
      </c>
      <c r="L74" s="118">
        <f t="shared" si="2"/>
        <v>0</v>
      </c>
      <c r="M74" s="148"/>
      <c r="N74" s="148"/>
      <c r="O74" s="148"/>
      <c r="P74" s="148"/>
      <c r="Q74" s="158">
        <f t="shared" si="12"/>
        <v>0</v>
      </c>
      <c r="R74" s="159"/>
      <c r="S74" s="159"/>
      <c r="T74" s="159"/>
      <c r="U74" s="159"/>
      <c r="V74" s="159"/>
      <c r="W74" s="159"/>
    </row>
    <row r="75" spans="1:23" s="76" customFormat="1" ht="12.75" hidden="1">
      <c r="A75" s="101"/>
      <c r="B75" s="124"/>
      <c r="C75" s="108"/>
      <c r="D75" s="108"/>
      <c r="E75" s="128"/>
      <c r="F75" s="160">
        <f t="shared" si="18"/>
        <v>0</v>
      </c>
      <c r="G75" s="148"/>
      <c r="H75" s="148"/>
      <c r="I75" s="148"/>
      <c r="J75" s="148"/>
      <c r="K75" s="161">
        <f t="shared" si="19"/>
        <v>0</v>
      </c>
      <c r="L75" s="118">
        <f t="shared" si="2"/>
        <v>0</v>
      </c>
      <c r="M75" s="148"/>
      <c r="N75" s="148"/>
      <c r="O75" s="148"/>
      <c r="P75" s="148"/>
      <c r="Q75" s="158">
        <f aca="true" t="shared" si="20" ref="Q75:Q100">F75+K75</f>
        <v>0</v>
      </c>
      <c r="R75" s="159"/>
      <c r="S75" s="159"/>
      <c r="T75" s="159"/>
      <c r="U75" s="159"/>
      <c r="V75" s="159"/>
      <c r="W75" s="159"/>
    </row>
    <row r="76" spans="1:23" s="76" customFormat="1" ht="12.75" hidden="1">
      <c r="A76" s="101"/>
      <c r="B76" s="124"/>
      <c r="C76" s="108"/>
      <c r="D76" s="108"/>
      <c r="E76" s="128"/>
      <c r="F76" s="160">
        <f t="shared" si="18"/>
        <v>0</v>
      </c>
      <c r="G76" s="148"/>
      <c r="H76" s="148"/>
      <c r="I76" s="148"/>
      <c r="J76" s="148"/>
      <c r="K76" s="161">
        <f t="shared" si="19"/>
        <v>0</v>
      </c>
      <c r="L76" s="118">
        <f t="shared" si="2"/>
        <v>0</v>
      </c>
      <c r="M76" s="148"/>
      <c r="N76" s="148"/>
      <c r="O76" s="148"/>
      <c r="P76" s="148"/>
      <c r="Q76" s="158">
        <f t="shared" si="20"/>
        <v>0</v>
      </c>
      <c r="R76" s="159"/>
      <c r="S76" s="159"/>
      <c r="T76" s="159"/>
      <c r="U76" s="159"/>
      <c r="V76" s="159"/>
      <c r="W76" s="159"/>
    </row>
    <row r="77" spans="1:23" s="76" customFormat="1" ht="12.75" hidden="1">
      <c r="A77" s="101"/>
      <c r="B77" s="124"/>
      <c r="C77" s="108"/>
      <c r="D77" s="108"/>
      <c r="E77" s="128"/>
      <c r="F77" s="160">
        <f t="shared" si="18"/>
        <v>0</v>
      </c>
      <c r="G77" s="148"/>
      <c r="H77" s="148"/>
      <c r="I77" s="148"/>
      <c r="J77" s="148"/>
      <c r="K77" s="161">
        <f t="shared" si="19"/>
        <v>0</v>
      </c>
      <c r="L77" s="118">
        <f t="shared" si="2"/>
        <v>0</v>
      </c>
      <c r="M77" s="148"/>
      <c r="N77" s="148"/>
      <c r="O77" s="148"/>
      <c r="P77" s="148"/>
      <c r="Q77" s="158">
        <f t="shared" si="20"/>
        <v>0</v>
      </c>
      <c r="R77" s="159"/>
      <c r="S77" s="159"/>
      <c r="T77" s="159"/>
      <c r="U77" s="159"/>
      <c r="V77" s="159"/>
      <c r="W77" s="159"/>
    </row>
    <row r="78" spans="1:23" s="76" customFormat="1" ht="12.75" hidden="1">
      <c r="A78" s="101"/>
      <c r="B78" s="124"/>
      <c r="C78" s="108"/>
      <c r="D78" s="108"/>
      <c r="E78" s="128"/>
      <c r="F78" s="160">
        <f t="shared" si="18"/>
        <v>0</v>
      </c>
      <c r="G78" s="148"/>
      <c r="H78" s="148"/>
      <c r="I78" s="148"/>
      <c r="J78" s="148"/>
      <c r="K78" s="161">
        <f t="shared" si="19"/>
        <v>0</v>
      </c>
      <c r="L78" s="118">
        <f t="shared" si="2"/>
        <v>0</v>
      </c>
      <c r="M78" s="148"/>
      <c r="N78" s="148"/>
      <c r="O78" s="148"/>
      <c r="P78" s="148"/>
      <c r="Q78" s="158">
        <f t="shared" si="20"/>
        <v>0</v>
      </c>
      <c r="R78" s="159"/>
      <c r="S78" s="159"/>
      <c r="T78" s="159"/>
      <c r="U78" s="159"/>
      <c r="V78" s="159"/>
      <c r="W78" s="159"/>
    </row>
    <row r="79" spans="1:23" s="76" customFormat="1" ht="12.75" hidden="1">
      <c r="A79" s="101"/>
      <c r="B79" s="124"/>
      <c r="C79" s="108"/>
      <c r="D79" s="108"/>
      <c r="E79" s="128"/>
      <c r="F79" s="160">
        <f t="shared" si="18"/>
        <v>0</v>
      </c>
      <c r="G79" s="148"/>
      <c r="H79" s="148"/>
      <c r="I79" s="148"/>
      <c r="J79" s="148"/>
      <c r="K79" s="161">
        <f t="shared" si="19"/>
        <v>0</v>
      </c>
      <c r="L79" s="118">
        <f t="shared" si="2"/>
        <v>0</v>
      </c>
      <c r="M79" s="148"/>
      <c r="N79" s="148"/>
      <c r="O79" s="148"/>
      <c r="P79" s="148"/>
      <c r="Q79" s="158">
        <f t="shared" si="20"/>
        <v>0</v>
      </c>
      <c r="R79" s="159"/>
      <c r="S79" s="159"/>
      <c r="T79" s="159"/>
      <c r="U79" s="159"/>
      <c r="V79" s="159"/>
      <c r="W79" s="159"/>
    </row>
    <row r="80" spans="1:23" s="76" customFormat="1" ht="12.75" hidden="1">
      <c r="A80" s="101"/>
      <c r="B80" s="124"/>
      <c r="C80" s="108"/>
      <c r="D80" s="108"/>
      <c r="E80" s="128"/>
      <c r="F80" s="160">
        <f t="shared" si="18"/>
        <v>0</v>
      </c>
      <c r="G80" s="148"/>
      <c r="H80" s="148"/>
      <c r="I80" s="148"/>
      <c r="J80" s="148"/>
      <c r="K80" s="161">
        <f t="shared" si="19"/>
        <v>0</v>
      </c>
      <c r="L80" s="118">
        <f t="shared" si="2"/>
        <v>0</v>
      </c>
      <c r="M80" s="148"/>
      <c r="N80" s="148"/>
      <c r="O80" s="148"/>
      <c r="P80" s="148"/>
      <c r="Q80" s="158">
        <f t="shared" si="20"/>
        <v>0</v>
      </c>
      <c r="R80" s="159"/>
      <c r="S80" s="159"/>
      <c r="T80" s="159"/>
      <c r="U80" s="159"/>
      <c r="V80" s="159"/>
      <c r="W80" s="159"/>
    </row>
    <row r="81" spans="1:23" s="76" customFormat="1" ht="12.75" hidden="1">
      <c r="A81" s="101"/>
      <c r="B81" s="124"/>
      <c r="C81" s="108"/>
      <c r="D81" s="108"/>
      <c r="E81" s="128"/>
      <c r="F81" s="160">
        <f t="shared" si="18"/>
        <v>0</v>
      </c>
      <c r="G81" s="148"/>
      <c r="H81" s="148"/>
      <c r="I81" s="148"/>
      <c r="J81" s="148"/>
      <c r="K81" s="161">
        <f t="shared" si="19"/>
        <v>0</v>
      </c>
      <c r="L81" s="118">
        <f t="shared" si="2"/>
        <v>0</v>
      </c>
      <c r="M81" s="148"/>
      <c r="N81" s="148"/>
      <c r="O81" s="148"/>
      <c r="P81" s="148"/>
      <c r="Q81" s="158">
        <f t="shared" si="20"/>
        <v>0</v>
      </c>
      <c r="R81" s="159"/>
      <c r="S81" s="159"/>
      <c r="T81" s="159"/>
      <c r="U81" s="159"/>
      <c r="V81" s="159"/>
      <c r="W81" s="159"/>
    </row>
    <row r="82" spans="1:23" s="76" customFormat="1" ht="12.75" hidden="1">
      <c r="A82" s="101"/>
      <c r="B82" s="124"/>
      <c r="C82" s="108"/>
      <c r="D82" s="108"/>
      <c r="E82" s="128"/>
      <c r="F82" s="160">
        <f t="shared" si="18"/>
        <v>0</v>
      </c>
      <c r="G82" s="148"/>
      <c r="H82" s="148"/>
      <c r="I82" s="148"/>
      <c r="J82" s="148"/>
      <c r="K82" s="161">
        <f t="shared" si="19"/>
        <v>0</v>
      </c>
      <c r="L82" s="118">
        <f t="shared" si="2"/>
        <v>0</v>
      </c>
      <c r="M82" s="148"/>
      <c r="N82" s="148"/>
      <c r="O82" s="148"/>
      <c r="P82" s="148"/>
      <c r="Q82" s="158">
        <f t="shared" si="20"/>
        <v>0</v>
      </c>
      <c r="R82" s="159"/>
      <c r="S82" s="159"/>
      <c r="T82" s="159"/>
      <c r="U82" s="159"/>
      <c r="V82" s="159"/>
      <c r="W82" s="159"/>
    </row>
    <row r="83" spans="1:23" s="76" customFormat="1" ht="12.75" hidden="1">
      <c r="A83" s="101"/>
      <c r="B83" s="124"/>
      <c r="C83" s="108"/>
      <c r="D83" s="108"/>
      <c r="E83" s="128"/>
      <c r="F83" s="160">
        <f t="shared" si="18"/>
        <v>0</v>
      </c>
      <c r="G83" s="148"/>
      <c r="H83" s="148"/>
      <c r="I83" s="148"/>
      <c r="J83" s="148"/>
      <c r="K83" s="161">
        <f t="shared" si="19"/>
        <v>0</v>
      </c>
      <c r="L83" s="118">
        <f aca="true" t="shared" si="21" ref="L83:L146">P83</f>
        <v>0</v>
      </c>
      <c r="M83" s="148"/>
      <c r="N83" s="148"/>
      <c r="O83" s="148"/>
      <c r="P83" s="148"/>
      <c r="Q83" s="158">
        <f t="shared" si="20"/>
        <v>0</v>
      </c>
      <c r="R83" s="159"/>
      <c r="S83" s="159"/>
      <c r="T83" s="159"/>
      <c r="U83" s="159"/>
      <c r="V83" s="159"/>
      <c r="W83" s="159"/>
    </row>
    <row r="84" spans="1:23" s="76" customFormat="1" ht="12.75" hidden="1">
      <c r="A84" s="101"/>
      <c r="B84" s="124"/>
      <c r="C84" s="108"/>
      <c r="D84" s="108"/>
      <c r="E84" s="128"/>
      <c r="F84" s="160">
        <f t="shared" si="18"/>
        <v>0</v>
      </c>
      <c r="G84" s="148"/>
      <c r="H84" s="148"/>
      <c r="I84" s="148"/>
      <c r="J84" s="148"/>
      <c r="K84" s="161">
        <f t="shared" si="19"/>
        <v>0</v>
      </c>
      <c r="L84" s="118">
        <f t="shared" si="21"/>
        <v>0</v>
      </c>
      <c r="M84" s="148"/>
      <c r="N84" s="148"/>
      <c r="O84" s="148"/>
      <c r="P84" s="148"/>
      <c r="Q84" s="158">
        <f t="shared" si="20"/>
        <v>0</v>
      </c>
      <c r="R84" s="159"/>
      <c r="S84" s="159"/>
      <c r="T84" s="159"/>
      <c r="U84" s="159"/>
      <c r="V84" s="159"/>
      <c r="W84" s="159"/>
    </row>
    <row r="85" spans="1:23" s="76" customFormat="1" ht="17.25" customHeight="1" hidden="1">
      <c r="A85" s="101"/>
      <c r="B85" s="124"/>
      <c r="C85" s="108"/>
      <c r="D85" s="108"/>
      <c r="E85" s="128"/>
      <c r="F85" s="160">
        <f t="shared" si="18"/>
        <v>0</v>
      </c>
      <c r="G85" s="148"/>
      <c r="H85" s="148"/>
      <c r="I85" s="148"/>
      <c r="J85" s="148"/>
      <c r="K85" s="161">
        <f t="shared" si="19"/>
        <v>0</v>
      </c>
      <c r="L85" s="118">
        <f t="shared" si="21"/>
        <v>0</v>
      </c>
      <c r="M85" s="148"/>
      <c r="N85" s="148"/>
      <c r="O85" s="148"/>
      <c r="P85" s="148"/>
      <c r="Q85" s="158">
        <f t="shared" si="20"/>
        <v>0</v>
      </c>
      <c r="R85" s="159"/>
      <c r="S85" s="159"/>
      <c r="T85" s="159"/>
      <c r="U85" s="159"/>
      <c r="V85" s="159"/>
      <c r="W85" s="159"/>
    </row>
    <row r="86" spans="1:23" s="76" customFormat="1" ht="12.75" hidden="1">
      <c r="A86" s="101"/>
      <c r="B86" s="124"/>
      <c r="C86" s="108"/>
      <c r="D86" s="108"/>
      <c r="E86" s="128"/>
      <c r="F86" s="160">
        <f t="shared" si="18"/>
        <v>0</v>
      </c>
      <c r="G86" s="148"/>
      <c r="H86" s="148"/>
      <c r="I86" s="148"/>
      <c r="J86" s="148"/>
      <c r="K86" s="161">
        <f t="shared" si="19"/>
        <v>0</v>
      </c>
      <c r="L86" s="118">
        <f t="shared" si="21"/>
        <v>0</v>
      </c>
      <c r="M86" s="148"/>
      <c r="N86" s="148"/>
      <c r="O86" s="148"/>
      <c r="P86" s="148"/>
      <c r="Q86" s="158">
        <f t="shared" si="20"/>
        <v>0</v>
      </c>
      <c r="R86" s="159"/>
      <c r="S86" s="159"/>
      <c r="T86" s="159"/>
      <c r="U86" s="159"/>
      <c r="V86" s="159"/>
      <c r="W86" s="159"/>
    </row>
    <row r="87" spans="1:23" s="76" customFormat="1" ht="12.75" hidden="1">
      <c r="A87" s="101"/>
      <c r="B87" s="124"/>
      <c r="C87" s="108"/>
      <c r="D87" s="108"/>
      <c r="E87" s="128"/>
      <c r="F87" s="160">
        <f t="shared" si="18"/>
        <v>0</v>
      </c>
      <c r="G87" s="148"/>
      <c r="H87" s="148"/>
      <c r="I87" s="148"/>
      <c r="J87" s="148"/>
      <c r="K87" s="161">
        <f t="shared" si="19"/>
        <v>0</v>
      </c>
      <c r="L87" s="118">
        <f t="shared" si="21"/>
        <v>0</v>
      </c>
      <c r="M87" s="148"/>
      <c r="N87" s="148"/>
      <c r="O87" s="148"/>
      <c r="P87" s="148"/>
      <c r="Q87" s="158">
        <f t="shared" si="20"/>
        <v>0</v>
      </c>
      <c r="R87" s="159"/>
      <c r="S87" s="159"/>
      <c r="T87" s="159"/>
      <c r="U87" s="159"/>
      <c r="V87" s="159"/>
      <c r="W87" s="159"/>
    </row>
    <row r="88" spans="1:23" s="76" customFormat="1" ht="12.75" hidden="1">
      <c r="A88" s="101"/>
      <c r="B88" s="124"/>
      <c r="C88" s="108"/>
      <c r="D88" s="108"/>
      <c r="E88" s="128"/>
      <c r="F88" s="160">
        <f t="shared" si="18"/>
        <v>0</v>
      </c>
      <c r="G88" s="148"/>
      <c r="H88" s="148"/>
      <c r="I88" s="148"/>
      <c r="J88" s="148"/>
      <c r="K88" s="161">
        <f t="shared" si="19"/>
        <v>0</v>
      </c>
      <c r="L88" s="118">
        <f t="shared" si="21"/>
        <v>0</v>
      </c>
      <c r="M88" s="148"/>
      <c r="N88" s="148"/>
      <c r="O88" s="148"/>
      <c r="P88" s="148"/>
      <c r="Q88" s="158">
        <f t="shared" si="20"/>
        <v>0</v>
      </c>
      <c r="R88" s="159"/>
      <c r="S88" s="159"/>
      <c r="T88" s="159"/>
      <c r="U88" s="159"/>
      <c r="V88" s="159"/>
      <c r="W88" s="159"/>
    </row>
    <row r="89" spans="1:23" s="76" customFormat="1" ht="12.75" hidden="1">
      <c r="A89" s="101"/>
      <c r="B89" s="124"/>
      <c r="C89" s="108"/>
      <c r="D89" s="108"/>
      <c r="E89" s="128"/>
      <c r="F89" s="160">
        <f t="shared" si="18"/>
        <v>0</v>
      </c>
      <c r="G89" s="148"/>
      <c r="H89" s="148"/>
      <c r="I89" s="148"/>
      <c r="J89" s="148"/>
      <c r="K89" s="161">
        <f t="shared" si="19"/>
        <v>0</v>
      </c>
      <c r="L89" s="118">
        <f t="shared" si="21"/>
        <v>0</v>
      </c>
      <c r="M89" s="148"/>
      <c r="N89" s="148"/>
      <c r="O89" s="148"/>
      <c r="P89" s="148"/>
      <c r="Q89" s="158">
        <f t="shared" si="20"/>
        <v>0</v>
      </c>
      <c r="R89" s="159"/>
      <c r="S89" s="159"/>
      <c r="T89" s="159"/>
      <c r="U89" s="159"/>
      <c r="V89" s="159"/>
      <c r="W89" s="159"/>
    </row>
    <row r="90" spans="1:23" s="76" customFormat="1" ht="12.75" hidden="1">
      <c r="A90" s="101"/>
      <c r="B90" s="124"/>
      <c r="C90" s="108"/>
      <c r="D90" s="108"/>
      <c r="E90" s="128"/>
      <c r="F90" s="160">
        <f t="shared" si="18"/>
        <v>0</v>
      </c>
      <c r="G90" s="148"/>
      <c r="H90" s="148"/>
      <c r="I90" s="148"/>
      <c r="J90" s="148"/>
      <c r="K90" s="161">
        <f t="shared" si="19"/>
        <v>0</v>
      </c>
      <c r="L90" s="118">
        <f t="shared" si="21"/>
        <v>0</v>
      </c>
      <c r="M90" s="148"/>
      <c r="N90" s="148"/>
      <c r="O90" s="148"/>
      <c r="P90" s="148"/>
      <c r="Q90" s="158">
        <f t="shared" si="20"/>
        <v>0</v>
      </c>
      <c r="R90" s="159"/>
      <c r="S90" s="159"/>
      <c r="T90" s="159"/>
      <c r="U90" s="159"/>
      <c r="V90" s="159"/>
      <c r="W90" s="159"/>
    </row>
    <row r="91" spans="1:23" s="76" customFormat="1" ht="12.75" hidden="1">
      <c r="A91" s="101"/>
      <c r="B91" s="124"/>
      <c r="C91" s="108"/>
      <c r="D91" s="108"/>
      <c r="E91" s="128"/>
      <c r="F91" s="160">
        <f t="shared" si="18"/>
        <v>0</v>
      </c>
      <c r="G91" s="148"/>
      <c r="H91" s="148"/>
      <c r="I91" s="148"/>
      <c r="J91" s="148"/>
      <c r="K91" s="161">
        <f t="shared" si="19"/>
        <v>0</v>
      </c>
      <c r="L91" s="118">
        <f t="shared" si="21"/>
        <v>0</v>
      </c>
      <c r="M91" s="148"/>
      <c r="N91" s="148"/>
      <c r="O91" s="148"/>
      <c r="P91" s="148"/>
      <c r="Q91" s="158">
        <f t="shared" si="20"/>
        <v>0</v>
      </c>
      <c r="R91" s="159"/>
      <c r="S91" s="159"/>
      <c r="T91" s="159"/>
      <c r="U91" s="159"/>
      <c r="V91" s="159"/>
      <c r="W91" s="159"/>
    </row>
    <row r="92" spans="1:23" s="76" customFormat="1" ht="12.75" hidden="1">
      <c r="A92" s="101"/>
      <c r="B92" s="124"/>
      <c r="C92" s="108"/>
      <c r="D92" s="108"/>
      <c r="E92" s="128"/>
      <c r="F92" s="160">
        <f t="shared" si="18"/>
        <v>0</v>
      </c>
      <c r="G92" s="148"/>
      <c r="H92" s="148"/>
      <c r="I92" s="148"/>
      <c r="J92" s="148"/>
      <c r="K92" s="161">
        <f t="shared" si="19"/>
        <v>0</v>
      </c>
      <c r="L92" s="118">
        <f t="shared" si="21"/>
        <v>0</v>
      </c>
      <c r="M92" s="148"/>
      <c r="N92" s="148"/>
      <c r="O92" s="148"/>
      <c r="P92" s="148"/>
      <c r="Q92" s="158">
        <f t="shared" si="20"/>
        <v>0</v>
      </c>
      <c r="R92" s="159"/>
      <c r="S92" s="159"/>
      <c r="T92" s="159"/>
      <c r="U92" s="159"/>
      <c r="V92" s="159"/>
      <c r="W92" s="159"/>
    </row>
    <row r="93" spans="1:23" s="76" customFormat="1" ht="12.75" hidden="1">
      <c r="A93" s="101"/>
      <c r="B93" s="124"/>
      <c r="C93" s="108"/>
      <c r="D93" s="108"/>
      <c r="E93" s="128"/>
      <c r="F93" s="160">
        <f t="shared" si="18"/>
        <v>0</v>
      </c>
      <c r="G93" s="148"/>
      <c r="H93" s="148"/>
      <c r="I93" s="148"/>
      <c r="J93" s="148"/>
      <c r="K93" s="161">
        <f t="shared" si="19"/>
        <v>0</v>
      </c>
      <c r="L93" s="118">
        <f t="shared" si="21"/>
        <v>0</v>
      </c>
      <c r="M93" s="148"/>
      <c r="N93" s="148"/>
      <c r="O93" s="148"/>
      <c r="P93" s="148"/>
      <c r="Q93" s="158">
        <f t="shared" si="20"/>
        <v>0</v>
      </c>
      <c r="R93" s="159"/>
      <c r="S93" s="159"/>
      <c r="T93" s="159"/>
      <c r="U93" s="159"/>
      <c r="V93" s="159"/>
      <c r="W93" s="159"/>
    </row>
    <row r="94" spans="1:23" s="76" customFormat="1" ht="12.75" hidden="1">
      <c r="A94" s="101"/>
      <c r="B94" s="124"/>
      <c r="C94" s="108"/>
      <c r="D94" s="108"/>
      <c r="E94" s="128"/>
      <c r="F94" s="160">
        <f t="shared" si="18"/>
        <v>0</v>
      </c>
      <c r="G94" s="148"/>
      <c r="H94" s="148"/>
      <c r="I94" s="148"/>
      <c r="J94" s="148"/>
      <c r="K94" s="161">
        <f t="shared" si="19"/>
        <v>0</v>
      </c>
      <c r="L94" s="118">
        <f t="shared" si="21"/>
        <v>0</v>
      </c>
      <c r="M94" s="148"/>
      <c r="N94" s="148"/>
      <c r="O94" s="148"/>
      <c r="P94" s="148"/>
      <c r="Q94" s="158">
        <f t="shared" si="20"/>
        <v>0</v>
      </c>
      <c r="R94" s="159"/>
      <c r="S94" s="159"/>
      <c r="T94" s="159"/>
      <c r="U94" s="159"/>
      <c r="V94" s="159"/>
      <c r="W94" s="159"/>
    </row>
    <row r="95" spans="1:23" s="76" customFormat="1" ht="12.75" hidden="1">
      <c r="A95" s="101"/>
      <c r="B95" s="124"/>
      <c r="C95" s="108"/>
      <c r="D95" s="108"/>
      <c r="E95" s="128"/>
      <c r="F95" s="160">
        <f t="shared" si="18"/>
        <v>0</v>
      </c>
      <c r="G95" s="148"/>
      <c r="H95" s="148"/>
      <c r="I95" s="148"/>
      <c r="J95" s="148"/>
      <c r="K95" s="161">
        <f t="shared" si="19"/>
        <v>0</v>
      </c>
      <c r="L95" s="118">
        <f t="shared" si="21"/>
        <v>0</v>
      </c>
      <c r="M95" s="148"/>
      <c r="N95" s="148"/>
      <c r="O95" s="148"/>
      <c r="P95" s="148"/>
      <c r="Q95" s="158">
        <f t="shared" si="20"/>
        <v>0</v>
      </c>
      <c r="R95" s="159"/>
      <c r="S95" s="159"/>
      <c r="T95" s="159"/>
      <c r="U95" s="159"/>
      <c r="V95" s="159"/>
      <c r="W95" s="159"/>
    </row>
    <row r="96" spans="1:23" s="76" customFormat="1" ht="15" customHeight="1">
      <c r="A96" s="101"/>
      <c r="B96" s="131" t="s">
        <v>578</v>
      </c>
      <c r="C96" s="131" t="s">
        <v>383</v>
      </c>
      <c r="D96" s="131" t="s">
        <v>233</v>
      </c>
      <c r="E96" s="128" t="s">
        <v>384</v>
      </c>
      <c r="F96" s="160">
        <f t="shared" si="18"/>
        <v>411000</v>
      </c>
      <c r="G96" s="148">
        <f>543200-132200</f>
        <v>411000</v>
      </c>
      <c r="H96" s="148">
        <f>440800-106000</f>
        <v>334800</v>
      </c>
      <c r="I96" s="148">
        <v>0</v>
      </c>
      <c r="J96" s="148">
        <v>0</v>
      </c>
      <c r="K96" s="161">
        <f t="shared" si="19"/>
        <v>0</v>
      </c>
      <c r="L96" s="118">
        <f t="shared" si="21"/>
        <v>0</v>
      </c>
      <c r="M96" s="148"/>
      <c r="N96" s="148">
        <v>0</v>
      </c>
      <c r="O96" s="148"/>
      <c r="P96" s="148">
        <v>0</v>
      </c>
      <c r="Q96" s="158">
        <f t="shared" si="20"/>
        <v>411000</v>
      </c>
      <c r="R96" s="159"/>
      <c r="S96" s="159"/>
      <c r="T96" s="159"/>
      <c r="U96" s="159"/>
      <c r="V96" s="159"/>
      <c r="W96" s="159"/>
    </row>
    <row r="97" spans="1:23" s="76" customFormat="1" ht="12.75" hidden="1">
      <c r="A97" s="101"/>
      <c r="B97" s="235"/>
      <c r="C97" s="131" t="s">
        <v>233</v>
      </c>
      <c r="D97" s="131"/>
      <c r="E97" s="128" t="s">
        <v>26</v>
      </c>
      <c r="F97" s="160">
        <f t="shared" si="18"/>
        <v>0</v>
      </c>
      <c r="G97" s="148"/>
      <c r="H97" s="148"/>
      <c r="I97" s="148"/>
      <c r="J97" s="148"/>
      <c r="K97" s="161">
        <f t="shared" si="19"/>
        <v>0</v>
      </c>
      <c r="L97" s="118">
        <f t="shared" si="21"/>
        <v>0</v>
      </c>
      <c r="M97" s="148"/>
      <c r="N97" s="148"/>
      <c r="O97" s="148"/>
      <c r="P97" s="148"/>
      <c r="Q97" s="158">
        <f t="shared" si="20"/>
        <v>0</v>
      </c>
      <c r="R97" s="159"/>
      <c r="S97" s="159"/>
      <c r="T97" s="159"/>
      <c r="U97" s="159"/>
      <c r="V97" s="159"/>
      <c r="W97" s="159"/>
    </row>
    <row r="98" spans="1:23" s="76" customFormat="1" ht="36">
      <c r="A98" s="101"/>
      <c r="B98" s="131" t="s">
        <v>579</v>
      </c>
      <c r="C98" s="131" t="s">
        <v>292</v>
      </c>
      <c r="D98" s="131" t="s">
        <v>299</v>
      </c>
      <c r="E98" s="128" t="s">
        <v>385</v>
      </c>
      <c r="F98" s="233">
        <f t="shared" si="18"/>
        <v>1947100</v>
      </c>
      <c r="G98" s="234">
        <f>1802100+120400+135000-250400-15000+250400+15000-110400</f>
        <v>1947100</v>
      </c>
      <c r="H98" s="148">
        <f>1092000-120000-15000+120000+15000-90500</f>
        <v>1001500</v>
      </c>
      <c r="I98" s="182">
        <f>390900+6400+108000+6000-580-73500+73500</f>
        <v>510720</v>
      </c>
      <c r="J98" s="148">
        <v>0</v>
      </c>
      <c r="K98" s="161">
        <f t="shared" si="19"/>
        <v>2000</v>
      </c>
      <c r="L98" s="118">
        <f t="shared" si="21"/>
        <v>0</v>
      </c>
      <c r="M98" s="148">
        <v>2000</v>
      </c>
      <c r="N98" s="148">
        <v>0</v>
      </c>
      <c r="O98" s="148">
        <v>0</v>
      </c>
      <c r="P98" s="148">
        <v>0</v>
      </c>
      <c r="Q98" s="158">
        <f t="shared" si="20"/>
        <v>1949100</v>
      </c>
      <c r="R98" s="159"/>
      <c r="S98" s="159"/>
      <c r="T98" s="159"/>
      <c r="U98" s="159"/>
      <c r="V98" s="159"/>
      <c r="W98" s="159"/>
    </row>
    <row r="99" spans="1:23" ht="24" hidden="1">
      <c r="A99" s="102"/>
      <c r="B99" s="379" t="s">
        <v>580</v>
      </c>
      <c r="C99" s="380"/>
      <c r="D99" s="381"/>
      <c r="E99" s="119" t="s">
        <v>386</v>
      </c>
      <c r="F99" s="146">
        <f t="shared" si="18"/>
        <v>0</v>
      </c>
      <c r="G99" s="147"/>
      <c r="H99" s="82"/>
      <c r="I99" s="82"/>
      <c r="J99" s="82"/>
      <c r="K99" s="163">
        <f t="shared" si="19"/>
        <v>0</v>
      </c>
      <c r="L99" s="118">
        <f t="shared" si="21"/>
        <v>0</v>
      </c>
      <c r="M99" s="82"/>
      <c r="N99" s="82"/>
      <c r="O99" s="82"/>
      <c r="P99" s="82"/>
      <c r="Q99" s="144">
        <f t="shared" si="20"/>
        <v>0</v>
      </c>
      <c r="R99" s="145"/>
      <c r="S99" s="145"/>
      <c r="T99" s="145"/>
      <c r="U99" s="145"/>
      <c r="V99" s="145"/>
      <c r="W99" s="145"/>
    </row>
    <row r="100" spans="1:23" ht="24" hidden="1">
      <c r="A100" s="102"/>
      <c r="B100" s="132" t="s">
        <v>581</v>
      </c>
      <c r="C100" s="132" t="s">
        <v>448</v>
      </c>
      <c r="D100" s="132" t="s">
        <v>300</v>
      </c>
      <c r="E100" s="117" t="s">
        <v>449</v>
      </c>
      <c r="F100" s="146">
        <f t="shared" si="18"/>
        <v>0</v>
      </c>
      <c r="G100" s="147"/>
      <c r="H100" s="82"/>
      <c r="I100" s="82"/>
      <c r="J100" s="82"/>
      <c r="K100" s="163">
        <f t="shared" si="19"/>
        <v>0</v>
      </c>
      <c r="L100" s="118">
        <f t="shared" si="21"/>
        <v>0</v>
      </c>
      <c r="M100" s="82"/>
      <c r="N100" s="82"/>
      <c r="O100" s="82"/>
      <c r="P100" s="82"/>
      <c r="Q100" s="144">
        <f t="shared" si="20"/>
        <v>0</v>
      </c>
      <c r="R100" s="145"/>
      <c r="S100" s="145"/>
      <c r="T100" s="145"/>
      <c r="U100" s="145"/>
      <c r="V100" s="145"/>
      <c r="W100" s="145"/>
    </row>
    <row r="101" spans="1:23" ht="28.5" hidden="1">
      <c r="A101" s="100"/>
      <c r="B101" s="356" t="s">
        <v>325</v>
      </c>
      <c r="C101" s="357"/>
      <c r="D101" s="358"/>
      <c r="E101" s="7" t="s">
        <v>127</v>
      </c>
      <c r="F101" s="167">
        <f>F102+F111+F117+F124</f>
        <v>0</v>
      </c>
      <c r="G101" s="168">
        <f aca="true" t="shared" si="22" ref="G101:Q101">G102+G111+G117+G124</f>
        <v>0</v>
      </c>
      <c r="H101" s="168">
        <f t="shared" si="22"/>
        <v>0</v>
      </c>
      <c r="I101" s="168">
        <f t="shared" si="22"/>
        <v>0</v>
      </c>
      <c r="J101" s="168">
        <f t="shared" si="22"/>
        <v>0</v>
      </c>
      <c r="K101" s="168">
        <f t="shared" si="22"/>
        <v>241104</v>
      </c>
      <c r="L101" s="118">
        <f t="shared" si="21"/>
        <v>241104</v>
      </c>
      <c r="M101" s="168">
        <f t="shared" si="22"/>
        <v>0</v>
      </c>
      <c r="N101" s="168">
        <f t="shared" si="22"/>
        <v>0</v>
      </c>
      <c r="O101" s="168">
        <f t="shared" si="22"/>
        <v>0</v>
      </c>
      <c r="P101" s="168">
        <f>P102+P111+P117+P124</f>
        <v>241104</v>
      </c>
      <c r="Q101" s="168">
        <f t="shared" si="22"/>
        <v>241104</v>
      </c>
      <c r="R101" s="145"/>
      <c r="S101" s="145"/>
      <c r="T101" s="145"/>
      <c r="U101" s="145"/>
      <c r="V101" s="145"/>
      <c r="W101" s="145"/>
    </row>
    <row r="102" spans="1:23" ht="14.25" hidden="1">
      <c r="A102" s="100"/>
      <c r="B102" s="356" t="s">
        <v>398</v>
      </c>
      <c r="C102" s="357"/>
      <c r="D102" s="358"/>
      <c r="E102" s="22" t="s">
        <v>399</v>
      </c>
      <c r="F102" s="167">
        <f>F103+F105+F107+F108</f>
        <v>0</v>
      </c>
      <c r="G102" s="168">
        <f aca="true" t="shared" si="23" ref="G102:Q102">G103+G105+G107+G108</f>
        <v>0</v>
      </c>
      <c r="H102" s="168">
        <f t="shared" si="23"/>
        <v>0</v>
      </c>
      <c r="I102" s="168">
        <f t="shared" si="23"/>
        <v>0</v>
      </c>
      <c r="J102" s="168">
        <f t="shared" si="23"/>
        <v>0</v>
      </c>
      <c r="K102" s="168">
        <f t="shared" si="23"/>
        <v>0</v>
      </c>
      <c r="L102" s="118">
        <f t="shared" si="21"/>
        <v>0</v>
      </c>
      <c r="M102" s="168">
        <f t="shared" si="23"/>
        <v>0</v>
      </c>
      <c r="N102" s="168">
        <f t="shared" si="23"/>
        <v>0</v>
      </c>
      <c r="O102" s="168">
        <f t="shared" si="23"/>
        <v>0</v>
      </c>
      <c r="P102" s="168">
        <f t="shared" si="23"/>
        <v>0</v>
      </c>
      <c r="Q102" s="168">
        <f t="shared" si="23"/>
        <v>0</v>
      </c>
      <c r="R102" s="145"/>
      <c r="S102" s="145"/>
      <c r="T102" s="145"/>
      <c r="U102" s="145"/>
      <c r="V102" s="145"/>
      <c r="W102" s="145"/>
    </row>
    <row r="103" spans="1:23" ht="60" hidden="1">
      <c r="A103" s="100" t="s">
        <v>154</v>
      </c>
      <c r="B103" s="124" t="s">
        <v>340</v>
      </c>
      <c r="C103" s="121" t="s">
        <v>290</v>
      </c>
      <c r="D103" s="121" t="s">
        <v>228</v>
      </c>
      <c r="E103" s="117" t="s">
        <v>266</v>
      </c>
      <c r="F103" s="146"/>
      <c r="G103" s="147"/>
      <c r="H103" s="82"/>
      <c r="I103" s="82"/>
      <c r="J103" s="82">
        <v>0</v>
      </c>
      <c r="K103" s="163">
        <f aca="true" t="shared" si="24" ref="K103:K142">M103+P103</f>
        <v>0</v>
      </c>
      <c r="L103" s="118">
        <f t="shared" si="21"/>
        <v>0</v>
      </c>
      <c r="M103" s="82"/>
      <c r="N103" s="82">
        <v>0</v>
      </c>
      <c r="O103" s="82">
        <v>0</v>
      </c>
      <c r="P103" s="229"/>
      <c r="Q103" s="163">
        <f>F103+K103</f>
        <v>0</v>
      </c>
      <c r="R103" s="145"/>
      <c r="S103" s="145"/>
      <c r="T103" s="145"/>
      <c r="U103" s="145"/>
      <c r="V103" s="145"/>
      <c r="W103" s="145"/>
    </row>
    <row r="104" spans="1:23" ht="12.75" hidden="1">
      <c r="A104" s="100" t="s">
        <v>155</v>
      </c>
      <c r="B104" s="121"/>
      <c r="C104" s="121" t="s">
        <v>228</v>
      </c>
      <c r="D104" s="121"/>
      <c r="E104" s="117" t="s">
        <v>22</v>
      </c>
      <c r="F104" s="146"/>
      <c r="G104" s="164"/>
      <c r="H104" s="165"/>
      <c r="I104" s="165"/>
      <c r="J104" s="165">
        <v>0</v>
      </c>
      <c r="K104" s="163">
        <f t="shared" si="24"/>
        <v>0</v>
      </c>
      <c r="L104" s="118">
        <f t="shared" si="21"/>
        <v>0</v>
      </c>
      <c r="M104" s="165">
        <v>0</v>
      </c>
      <c r="N104" s="165">
        <v>0</v>
      </c>
      <c r="O104" s="165">
        <v>0</v>
      </c>
      <c r="P104" s="165">
        <v>0</v>
      </c>
      <c r="Q104" s="163">
        <f>F104+K104</f>
        <v>0</v>
      </c>
      <c r="R104" s="145"/>
      <c r="S104" s="145"/>
      <c r="T104" s="145"/>
      <c r="U104" s="145"/>
      <c r="V104" s="145"/>
      <c r="W104" s="145"/>
    </row>
    <row r="105" spans="1:23" ht="36" hidden="1">
      <c r="A105" s="100" t="s">
        <v>229</v>
      </c>
      <c r="B105" s="121" t="s">
        <v>341</v>
      </c>
      <c r="C105" s="121" t="s">
        <v>291</v>
      </c>
      <c r="D105" s="121" t="s">
        <v>297</v>
      </c>
      <c r="E105" s="117" t="s">
        <v>267</v>
      </c>
      <c r="F105" s="146"/>
      <c r="G105" s="147"/>
      <c r="H105" s="82"/>
      <c r="I105" s="82"/>
      <c r="J105" s="82">
        <v>0</v>
      </c>
      <c r="K105" s="163">
        <f t="shared" si="24"/>
        <v>0</v>
      </c>
      <c r="L105" s="118">
        <f t="shared" si="21"/>
        <v>0</v>
      </c>
      <c r="M105" s="82">
        <v>0</v>
      </c>
      <c r="N105" s="82">
        <v>0</v>
      </c>
      <c r="O105" s="82">
        <v>0</v>
      </c>
      <c r="P105" s="82">
        <v>0</v>
      </c>
      <c r="Q105" s="163">
        <f>F105+K105</f>
        <v>0</v>
      </c>
      <c r="R105" s="145"/>
      <c r="S105" s="145"/>
      <c r="T105" s="145"/>
      <c r="U105" s="145"/>
      <c r="V105" s="145"/>
      <c r="W105" s="145"/>
    </row>
    <row r="106" spans="1:23" ht="36" hidden="1">
      <c r="A106" s="100"/>
      <c r="B106" s="121"/>
      <c r="C106" s="121"/>
      <c r="D106" s="121"/>
      <c r="E106" s="117" t="s">
        <v>34</v>
      </c>
      <c r="F106" s="146">
        <f>G106+J106</f>
        <v>0</v>
      </c>
      <c r="G106" s="147"/>
      <c r="H106" s="82"/>
      <c r="I106" s="82"/>
      <c r="J106" s="82"/>
      <c r="K106" s="163">
        <f t="shared" si="24"/>
        <v>0</v>
      </c>
      <c r="L106" s="118">
        <f t="shared" si="21"/>
        <v>0</v>
      </c>
      <c r="M106" s="82">
        <v>0</v>
      </c>
      <c r="N106" s="82">
        <v>0</v>
      </c>
      <c r="O106" s="82">
        <v>0</v>
      </c>
      <c r="P106" s="82"/>
      <c r="Q106" s="163">
        <f>F106+K106</f>
        <v>0</v>
      </c>
      <c r="R106" s="145"/>
      <c r="S106" s="145"/>
      <c r="T106" s="145"/>
      <c r="U106" s="145"/>
      <c r="V106" s="145"/>
      <c r="W106" s="145"/>
    </row>
    <row r="107" spans="1:23" s="76" customFormat="1" ht="24" hidden="1">
      <c r="A107" s="101" t="s">
        <v>156</v>
      </c>
      <c r="B107" s="124" t="s">
        <v>343</v>
      </c>
      <c r="C107" s="124" t="s">
        <v>344</v>
      </c>
      <c r="D107" s="124" t="s">
        <v>298</v>
      </c>
      <c r="E107" s="128" t="s">
        <v>342</v>
      </c>
      <c r="F107" s="156"/>
      <c r="G107" s="148"/>
      <c r="H107" s="148"/>
      <c r="I107" s="148"/>
      <c r="J107" s="148">
        <v>0</v>
      </c>
      <c r="K107" s="161">
        <f t="shared" si="24"/>
        <v>0</v>
      </c>
      <c r="L107" s="118">
        <f t="shared" si="21"/>
        <v>0</v>
      </c>
      <c r="M107" s="148">
        <v>0</v>
      </c>
      <c r="N107" s="148">
        <v>0</v>
      </c>
      <c r="O107" s="148">
        <v>0</v>
      </c>
      <c r="P107" s="148">
        <v>0</v>
      </c>
      <c r="Q107" s="161">
        <f>F107+K107</f>
        <v>0</v>
      </c>
      <c r="R107" s="159"/>
      <c r="S107" s="159"/>
      <c r="T107" s="159"/>
      <c r="U107" s="159"/>
      <c r="V107" s="159"/>
      <c r="W107" s="159"/>
    </row>
    <row r="108" spans="1:23" ht="24" hidden="1">
      <c r="A108" s="100" t="s">
        <v>157</v>
      </c>
      <c r="B108" s="121" t="s">
        <v>345</v>
      </c>
      <c r="C108" s="121" t="s">
        <v>346</v>
      </c>
      <c r="D108" s="121" t="s">
        <v>298</v>
      </c>
      <c r="E108" s="129" t="s">
        <v>347</v>
      </c>
      <c r="F108" s="154">
        <f>F109+F110</f>
        <v>0</v>
      </c>
      <c r="G108" s="154">
        <f aca="true" t="shared" si="25" ref="G108:Q108">G109+G110</f>
        <v>0</v>
      </c>
      <c r="H108" s="154">
        <f t="shared" si="25"/>
        <v>0</v>
      </c>
      <c r="I108" s="154">
        <f t="shared" si="25"/>
        <v>0</v>
      </c>
      <c r="J108" s="154">
        <f t="shared" si="25"/>
        <v>0</v>
      </c>
      <c r="K108" s="154">
        <f t="shared" si="25"/>
        <v>0</v>
      </c>
      <c r="L108" s="118">
        <f t="shared" si="21"/>
        <v>0</v>
      </c>
      <c r="M108" s="154">
        <f t="shared" si="25"/>
        <v>0</v>
      </c>
      <c r="N108" s="154">
        <f t="shared" si="25"/>
        <v>0</v>
      </c>
      <c r="O108" s="154">
        <f t="shared" si="25"/>
        <v>0</v>
      </c>
      <c r="P108" s="154">
        <f t="shared" si="25"/>
        <v>0</v>
      </c>
      <c r="Q108" s="154">
        <f t="shared" si="25"/>
        <v>0</v>
      </c>
      <c r="R108" s="145"/>
      <c r="S108" s="145"/>
      <c r="T108" s="145"/>
      <c r="U108" s="145"/>
      <c r="V108" s="145"/>
      <c r="W108" s="145"/>
    </row>
    <row r="109" spans="1:23" ht="24" hidden="1">
      <c r="A109" s="100" t="s">
        <v>158</v>
      </c>
      <c r="B109" s="121" t="s">
        <v>424</v>
      </c>
      <c r="C109" s="121" t="s">
        <v>425</v>
      </c>
      <c r="D109" s="121" t="s">
        <v>298</v>
      </c>
      <c r="E109" s="117" t="s">
        <v>428</v>
      </c>
      <c r="F109" s="146"/>
      <c r="G109" s="164"/>
      <c r="H109" s="165"/>
      <c r="I109" s="165"/>
      <c r="J109" s="165">
        <v>0</v>
      </c>
      <c r="K109" s="163">
        <f t="shared" si="24"/>
        <v>0</v>
      </c>
      <c r="L109" s="118">
        <f t="shared" si="21"/>
        <v>0</v>
      </c>
      <c r="M109" s="82">
        <v>0</v>
      </c>
      <c r="N109" s="82">
        <v>0</v>
      </c>
      <c r="O109" s="82">
        <v>0</v>
      </c>
      <c r="P109" s="82"/>
      <c r="Q109" s="163">
        <f>F109+K109</f>
        <v>0</v>
      </c>
      <c r="R109" s="145"/>
      <c r="S109" s="145"/>
      <c r="T109" s="145"/>
      <c r="U109" s="145"/>
      <c r="V109" s="145"/>
      <c r="W109" s="145"/>
    </row>
    <row r="110" spans="1:23" ht="12.75" hidden="1">
      <c r="A110" s="100" t="s">
        <v>159</v>
      </c>
      <c r="B110" s="121" t="s">
        <v>426</v>
      </c>
      <c r="C110" s="121" t="s">
        <v>427</v>
      </c>
      <c r="D110" s="83" t="s">
        <v>298</v>
      </c>
      <c r="E110" s="117" t="s">
        <v>429</v>
      </c>
      <c r="F110" s="146">
        <f>G110+J110</f>
        <v>0</v>
      </c>
      <c r="G110" s="147">
        <v>0</v>
      </c>
      <c r="H110" s="82">
        <v>0</v>
      </c>
      <c r="I110" s="82">
        <v>0</v>
      </c>
      <c r="J110" s="82">
        <v>0</v>
      </c>
      <c r="K110" s="163">
        <f t="shared" si="24"/>
        <v>0</v>
      </c>
      <c r="L110" s="118">
        <f t="shared" si="21"/>
        <v>0</v>
      </c>
      <c r="M110" s="82">
        <v>0</v>
      </c>
      <c r="N110" s="82">
        <v>0</v>
      </c>
      <c r="O110" s="82">
        <v>0</v>
      </c>
      <c r="P110" s="82"/>
      <c r="Q110" s="163">
        <f>F110+K110</f>
        <v>0</v>
      </c>
      <c r="R110" s="145"/>
      <c r="S110" s="145"/>
      <c r="T110" s="145"/>
      <c r="U110" s="145"/>
      <c r="V110" s="145"/>
      <c r="W110" s="145"/>
    </row>
    <row r="111" spans="1:23" ht="14.25" hidden="1">
      <c r="A111" s="100"/>
      <c r="B111" s="356" t="s">
        <v>400</v>
      </c>
      <c r="C111" s="357"/>
      <c r="D111" s="358"/>
      <c r="E111" s="119" t="s">
        <v>397</v>
      </c>
      <c r="F111" s="169">
        <f aca="true" t="shared" si="26" ref="F111:Q111">F112</f>
        <v>0</v>
      </c>
      <c r="G111" s="170">
        <f t="shared" si="26"/>
        <v>0</v>
      </c>
      <c r="H111" s="170">
        <f t="shared" si="26"/>
        <v>0</v>
      </c>
      <c r="I111" s="170">
        <f t="shared" si="26"/>
        <v>0</v>
      </c>
      <c r="J111" s="170">
        <f t="shared" si="26"/>
        <v>0</v>
      </c>
      <c r="K111" s="170">
        <f t="shared" si="26"/>
        <v>241104</v>
      </c>
      <c r="L111" s="118">
        <f t="shared" si="21"/>
        <v>241104</v>
      </c>
      <c r="M111" s="170">
        <f t="shared" si="26"/>
        <v>0</v>
      </c>
      <c r="N111" s="170">
        <f t="shared" si="26"/>
        <v>0</v>
      </c>
      <c r="O111" s="170">
        <f t="shared" si="26"/>
        <v>0</v>
      </c>
      <c r="P111" s="170">
        <f t="shared" si="26"/>
        <v>241104</v>
      </c>
      <c r="Q111" s="170">
        <f t="shared" si="26"/>
        <v>241104</v>
      </c>
      <c r="R111" s="145"/>
      <c r="S111" s="145"/>
      <c r="T111" s="145"/>
      <c r="U111" s="145"/>
      <c r="V111" s="145"/>
      <c r="W111" s="145"/>
    </row>
    <row r="112" spans="1:23" s="76" customFormat="1" ht="14.25" hidden="1">
      <c r="A112" s="101" t="s">
        <v>160</v>
      </c>
      <c r="B112" s="376" t="s">
        <v>401</v>
      </c>
      <c r="C112" s="377"/>
      <c r="D112" s="378"/>
      <c r="E112" s="120" t="s">
        <v>402</v>
      </c>
      <c r="F112" s="171">
        <f>F113+F115</f>
        <v>0</v>
      </c>
      <c r="G112" s="171">
        <f aca="true" t="shared" si="27" ref="G112:Q112">G113+G115</f>
        <v>0</v>
      </c>
      <c r="H112" s="171">
        <f t="shared" si="27"/>
        <v>0</v>
      </c>
      <c r="I112" s="171">
        <f t="shared" si="27"/>
        <v>0</v>
      </c>
      <c r="J112" s="171">
        <f t="shared" si="27"/>
        <v>0</v>
      </c>
      <c r="K112" s="171">
        <f t="shared" si="27"/>
        <v>241104</v>
      </c>
      <c r="L112" s="118">
        <f t="shared" si="21"/>
        <v>241104</v>
      </c>
      <c r="M112" s="171">
        <f t="shared" si="27"/>
        <v>0</v>
      </c>
      <c r="N112" s="171">
        <f t="shared" si="27"/>
        <v>0</v>
      </c>
      <c r="O112" s="171">
        <f t="shared" si="27"/>
        <v>0</v>
      </c>
      <c r="P112" s="171">
        <f t="shared" si="27"/>
        <v>241104</v>
      </c>
      <c r="Q112" s="171">
        <f t="shared" si="27"/>
        <v>241104</v>
      </c>
      <c r="R112" s="159"/>
      <c r="S112" s="159"/>
      <c r="T112" s="159"/>
      <c r="U112" s="159"/>
      <c r="V112" s="159"/>
      <c r="W112" s="159"/>
    </row>
    <row r="113" spans="1:23" s="76" customFormat="1" ht="24" hidden="1">
      <c r="A113" s="101"/>
      <c r="B113" s="376" t="s">
        <v>557</v>
      </c>
      <c r="C113" s="377"/>
      <c r="D113" s="378"/>
      <c r="E113" s="120" t="s">
        <v>558</v>
      </c>
      <c r="F113" s="156">
        <f>F114</f>
        <v>0</v>
      </c>
      <c r="G113" s="156">
        <f aca="true" t="shared" si="28" ref="G113:P113">G114</f>
        <v>0</v>
      </c>
      <c r="H113" s="156">
        <f t="shared" si="28"/>
        <v>0</v>
      </c>
      <c r="I113" s="156">
        <f t="shared" si="28"/>
        <v>0</v>
      </c>
      <c r="J113" s="156">
        <f t="shared" si="28"/>
        <v>0</v>
      </c>
      <c r="K113" s="156">
        <f t="shared" si="28"/>
        <v>50000</v>
      </c>
      <c r="L113" s="118">
        <f t="shared" si="21"/>
        <v>50000</v>
      </c>
      <c r="M113" s="156">
        <f t="shared" si="28"/>
        <v>0</v>
      </c>
      <c r="N113" s="156">
        <f t="shared" si="28"/>
        <v>0</v>
      </c>
      <c r="O113" s="156">
        <f t="shared" si="28"/>
        <v>0</v>
      </c>
      <c r="P113" s="160">
        <f t="shared" si="28"/>
        <v>50000</v>
      </c>
      <c r="Q113" s="161">
        <f>F113+K113</f>
        <v>50000</v>
      </c>
      <c r="R113" s="159"/>
      <c r="S113" s="159"/>
      <c r="T113" s="159"/>
      <c r="U113" s="159"/>
      <c r="V113" s="159"/>
      <c r="W113" s="159"/>
    </row>
    <row r="114" spans="1:23" s="76" customFormat="1" ht="12.75">
      <c r="A114" s="101" t="s">
        <v>161</v>
      </c>
      <c r="B114" s="124" t="s">
        <v>348</v>
      </c>
      <c r="C114" s="108" t="s">
        <v>349</v>
      </c>
      <c r="D114" s="108" t="s">
        <v>350</v>
      </c>
      <c r="E114" s="125"/>
      <c r="F114" s="156">
        <f>G114+J114</f>
        <v>0</v>
      </c>
      <c r="G114" s="148">
        <v>0</v>
      </c>
      <c r="H114" s="148">
        <v>0</v>
      </c>
      <c r="I114" s="148">
        <v>0</v>
      </c>
      <c r="J114" s="148">
        <v>0</v>
      </c>
      <c r="K114" s="161">
        <f t="shared" si="24"/>
        <v>50000</v>
      </c>
      <c r="L114" s="118">
        <f t="shared" si="21"/>
        <v>50000</v>
      </c>
      <c r="M114" s="148">
        <v>0</v>
      </c>
      <c r="N114" s="148">
        <v>0</v>
      </c>
      <c r="O114" s="148">
        <v>0</v>
      </c>
      <c r="P114" s="148">
        <f>48233-48233+50000</f>
        <v>50000</v>
      </c>
      <c r="Q114" s="161">
        <f>F114+K114</f>
        <v>50000</v>
      </c>
      <c r="R114" s="159"/>
      <c r="S114" s="159"/>
      <c r="T114" s="159"/>
      <c r="U114" s="159"/>
      <c r="V114" s="159"/>
      <c r="W114" s="159"/>
    </row>
    <row r="115" spans="1:23" s="76" customFormat="1" ht="14.25" hidden="1">
      <c r="A115" s="101"/>
      <c r="B115" s="376" t="s">
        <v>559</v>
      </c>
      <c r="C115" s="377"/>
      <c r="D115" s="378"/>
      <c r="E115" s="122" t="s">
        <v>560</v>
      </c>
      <c r="F115" s="160">
        <f>F116</f>
        <v>0</v>
      </c>
      <c r="G115" s="160">
        <f aca="true" t="shared" si="29" ref="G115:M115">G116</f>
        <v>0</v>
      </c>
      <c r="H115" s="160">
        <f t="shared" si="29"/>
        <v>0</v>
      </c>
      <c r="I115" s="160">
        <f t="shared" si="29"/>
        <v>0</v>
      </c>
      <c r="J115" s="160">
        <f t="shared" si="29"/>
        <v>0</v>
      </c>
      <c r="K115" s="160">
        <f t="shared" si="29"/>
        <v>191104</v>
      </c>
      <c r="L115" s="118">
        <f t="shared" si="21"/>
        <v>191104</v>
      </c>
      <c r="M115" s="160">
        <f t="shared" si="29"/>
        <v>0</v>
      </c>
      <c r="N115" s="160">
        <f>N116</f>
        <v>0</v>
      </c>
      <c r="O115" s="160">
        <f>O116</f>
        <v>0</v>
      </c>
      <c r="P115" s="160">
        <f>P116</f>
        <v>191104</v>
      </c>
      <c r="Q115" s="160">
        <f>Q116</f>
        <v>191104</v>
      </c>
      <c r="R115" s="159"/>
      <c r="S115" s="159"/>
      <c r="T115" s="159"/>
      <c r="U115" s="159"/>
      <c r="V115" s="159"/>
      <c r="W115" s="159"/>
    </row>
    <row r="116" spans="1:23" s="76" customFormat="1" ht="48">
      <c r="A116" s="101"/>
      <c r="B116" s="124" t="s">
        <v>555</v>
      </c>
      <c r="C116" s="124" t="s">
        <v>556</v>
      </c>
      <c r="D116" s="124" t="s">
        <v>230</v>
      </c>
      <c r="E116" s="125" t="s">
        <v>561</v>
      </c>
      <c r="F116" s="160">
        <f>G116+J116</f>
        <v>0</v>
      </c>
      <c r="G116" s="148">
        <v>0</v>
      </c>
      <c r="H116" s="148">
        <v>0</v>
      </c>
      <c r="I116" s="148">
        <v>0</v>
      </c>
      <c r="J116" s="148">
        <v>0</v>
      </c>
      <c r="K116" s="161">
        <f>M116+P116</f>
        <v>191104</v>
      </c>
      <c r="L116" s="118">
        <f t="shared" si="21"/>
        <v>191104</v>
      </c>
      <c r="M116" s="148">
        <v>0</v>
      </c>
      <c r="N116" s="148">
        <v>0</v>
      </c>
      <c r="O116" s="148">
        <v>0</v>
      </c>
      <c r="P116" s="148">
        <f>10143+175361.75+5599.25</f>
        <v>191104</v>
      </c>
      <c r="Q116" s="161">
        <f>F116+K116</f>
        <v>191104</v>
      </c>
      <c r="R116" s="159"/>
      <c r="S116" s="159"/>
      <c r="T116" s="159"/>
      <c r="U116" s="159"/>
      <c r="V116" s="159"/>
      <c r="W116" s="159"/>
    </row>
    <row r="117" spans="1:23" s="76" customFormat="1" ht="24" hidden="1">
      <c r="A117" s="101"/>
      <c r="B117" s="376" t="s">
        <v>403</v>
      </c>
      <c r="C117" s="377"/>
      <c r="D117" s="378"/>
      <c r="E117" s="122" t="s">
        <v>404</v>
      </c>
      <c r="F117" s="160">
        <f>F118</f>
        <v>0</v>
      </c>
      <c r="G117" s="161">
        <f aca="true" t="shared" si="30" ref="G117:Q117">G118</f>
        <v>0</v>
      </c>
      <c r="H117" s="161">
        <f t="shared" si="30"/>
        <v>0</v>
      </c>
      <c r="I117" s="161">
        <f t="shared" si="30"/>
        <v>0</v>
      </c>
      <c r="J117" s="161">
        <f t="shared" si="30"/>
        <v>0</v>
      </c>
      <c r="K117" s="161">
        <f t="shared" si="30"/>
        <v>0</v>
      </c>
      <c r="L117" s="118">
        <f t="shared" si="21"/>
        <v>0</v>
      </c>
      <c r="M117" s="161">
        <f t="shared" si="30"/>
        <v>0</v>
      </c>
      <c r="N117" s="161">
        <f t="shared" si="30"/>
        <v>0</v>
      </c>
      <c r="O117" s="161">
        <f t="shared" si="30"/>
        <v>0</v>
      </c>
      <c r="P117" s="161">
        <f t="shared" si="30"/>
        <v>0</v>
      </c>
      <c r="Q117" s="161">
        <f t="shared" si="30"/>
        <v>0</v>
      </c>
      <c r="R117" s="159"/>
      <c r="S117" s="159"/>
      <c r="T117" s="159"/>
      <c r="U117" s="159"/>
      <c r="V117" s="159"/>
      <c r="W117" s="159"/>
    </row>
    <row r="118" spans="1:23" s="76" customFormat="1" ht="48" hidden="1">
      <c r="A118" s="101"/>
      <c r="B118" s="376" t="s">
        <v>416</v>
      </c>
      <c r="C118" s="377"/>
      <c r="D118" s="378"/>
      <c r="E118" s="122" t="s">
        <v>433</v>
      </c>
      <c r="F118" s="160">
        <f>F119</f>
        <v>0</v>
      </c>
      <c r="G118" s="161">
        <f aca="true" t="shared" si="31" ref="G118:Q118">G119</f>
        <v>0</v>
      </c>
      <c r="H118" s="161">
        <f t="shared" si="31"/>
        <v>0</v>
      </c>
      <c r="I118" s="161">
        <f t="shared" si="31"/>
        <v>0</v>
      </c>
      <c r="J118" s="161">
        <f t="shared" si="31"/>
        <v>0</v>
      </c>
      <c r="K118" s="161">
        <f t="shared" si="31"/>
        <v>0</v>
      </c>
      <c r="L118" s="118">
        <f t="shared" si="21"/>
        <v>0</v>
      </c>
      <c r="M118" s="161">
        <f t="shared" si="31"/>
        <v>0</v>
      </c>
      <c r="N118" s="161">
        <f t="shared" si="31"/>
        <v>0</v>
      </c>
      <c r="O118" s="161">
        <f t="shared" si="31"/>
        <v>0</v>
      </c>
      <c r="P118" s="161">
        <f t="shared" si="31"/>
        <v>0</v>
      </c>
      <c r="Q118" s="161">
        <f t="shared" si="31"/>
        <v>0</v>
      </c>
      <c r="R118" s="159"/>
      <c r="S118" s="159"/>
      <c r="T118" s="159"/>
      <c r="U118" s="159"/>
      <c r="V118" s="159"/>
      <c r="W118" s="159"/>
    </row>
    <row r="119" spans="1:23" s="76" customFormat="1" ht="24" hidden="1">
      <c r="A119" s="101"/>
      <c r="B119" s="376" t="s">
        <v>405</v>
      </c>
      <c r="C119" s="377"/>
      <c r="D119" s="378"/>
      <c r="E119" s="122" t="s">
        <v>406</v>
      </c>
      <c r="F119" s="160">
        <f>F120</f>
        <v>0</v>
      </c>
      <c r="G119" s="161">
        <f aca="true" t="shared" si="32" ref="G119:Q119">G120</f>
        <v>0</v>
      </c>
      <c r="H119" s="161">
        <f t="shared" si="32"/>
        <v>0</v>
      </c>
      <c r="I119" s="161">
        <f t="shared" si="32"/>
        <v>0</v>
      </c>
      <c r="J119" s="161">
        <f t="shared" si="32"/>
        <v>0</v>
      </c>
      <c r="K119" s="161">
        <f t="shared" si="32"/>
        <v>0</v>
      </c>
      <c r="L119" s="118">
        <f t="shared" si="21"/>
        <v>0</v>
      </c>
      <c r="M119" s="161">
        <f t="shared" si="32"/>
        <v>0</v>
      </c>
      <c r="N119" s="161">
        <f t="shared" si="32"/>
        <v>0</v>
      </c>
      <c r="O119" s="161">
        <f t="shared" si="32"/>
        <v>0</v>
      </c>
      <c r="P119" s="161">
        <f t="shared" si="32"/>
        <v>0</v>
      </c>
      <c r="Q119" s="161">
        <f t="shared" si="32"/>
        <v>0</v>
      </c>
      <c r="R119" s="159"/>
      <c r="S119" s="159"/>
      <c r="T119" s="159"/>
      <c r="U119" s="159"/>
      <c r="V119" s="159"/>
      <c r="W119" s="159"/>
    </row>
    <row r="120" spans="1:23" s="76" customFormat="1" ht="24" hidden="1">
      <c r="A120" s="101" t="s">
        <v>162</v>
      </c>
      <c r="B120" s="124" t="s">
        <v>352</v>
      </c>
      <c r="C120" s="108" t="s">
        <v>308</v>
      </c>
      <c r="D120" s="108" t="s">
        <v>234</v>
      </c>
      <c r="E120" s="130" t="s">
        <v>268</v>
      </c>
      <c r="F120" s="156"/>
      <c r="G120" s="148"/>
      <c r="H120" s="148">
        <v>0</v>
      </c>
      <c r="I120" s="148">
        <v>0</v>
      </c>
      <c r="J120" s="148">
        <v>0</v>
      </c>
      <c r="K120" s="161">
        <f t="shared" si="24"/>
        <v>0</v>
      </c>
      <c r="L120" s="118">
        <f t="shared" si="21"/>
        <v>0</v>
      </c>
      <c r="M120" s="148">
        <v>0</v>
      </c>
      <c r="N120" s="148">
        <v>0</v>
      </c>
      <c r="O120" s="148">
        <v>0</v>
      </c>
      <c r="P120" s="148">
        <v>0</v>
      </c>
      <c r="Q120" s="161">
        <f>F120+K120</f>
        <v>0</v>
      </c>
      <c r="R120" s="159"/>
      <c r="S120" s="159"/>
      <c r="T120" s="159"/>
      <c r="U120" s="159"/>
      <c r="V120" s="159"/>
      <c r="W120" s="159"/>
    </row>
    <row r="121" spans="1:23" ht="24" hidden="1">
      <c r="A121" s="100" t="s">
        <v>163</v>
      </c>
      <c r="B121" s="88"/>
      <c r="C121" s="88"/>
      <c r="D121" s="88"/>
      <c r="E121" s="117" t="s">
        <v>24</v>
      </c>
      <c r="F121" s="146">
        <f>G121+J121</f>
        <v>0</v>
      </c>
      <c r="G121" s="147"/>
      <c r="H121" s="82"/>
      <c r="I121" s="82"/>
      <c r="J121" s="82"/>
      <c r="K121" s="163">
        <f t="shared" si="24"/>
        <v>0</v>
      </c>
      <c r="L121" s="118">
        <f t="shared" si="21"/>
        <v>0</v>
      </c>
      <c r="M121" s="82">
        <v>0</v>
      </c>
      <c r="N121" s="82">
        <v>0</v>
      </c>
      <c r="O121" s="82">
        <v>0</v>
      </c>
      <c r="P121" s="82">
        <v>0</v>
      </c>
      <c r="Q121" s="163">
        <f>F121+K121</f>
        <v>0</v>
      </c>
      <c r="R121" s="145"/>
      <c r="S121" s="145"/>
      <c r="T121" s="145"/>
      <c r="U121" s="145"/>
      <c r="V121" s="145"/>
      <c r="W121" s="145"/>
    </row>
    <row r="122" spans="1:23" ht="24" hidden="1">
      <c r="A122" s="100" t="s">
        <v>164</v>
      </c>
      <c r="B122" s="88"/>
      <c r="C122" s="88"/>
      <c r="D122" s="88"/>
      <c r="E122" s="117" t="s">
        <v>25</v>
      </c>
      <c r="F122" s="146">
        <f>G122+J122</f>
        <v>0</v>
      </c>
      <c r="G122" s="147"/>
      <c r="H122" s="82"/>
      <c r="I122" s="82"/>
      <c r="J122" s="82"/>
      <c r="K122" s="163">
        <f t="shared" si="24"/>
        <v>0</v>
      </c>
      <c r="L122" s="118">
        <f t="shared" si="21"/>
        <v>0</v>
      </c>
      <c r="M122" s="82">
        <v>0</v>
      </c>
      <c r="N122" s="82">
        <v>0</v>
      </c>
      <c r="O122" s="82">
        <v>0</v>
      </c>
      <c r="P122" s="82">
        <v>0</v>
      </c>
      <c r="Q122" s="163">
        <f>F122+K122</f>
        <v>0</v>
      </c>
      <c r="R122" s="145"/>
      <c r="S122" s="145"/>
      <c r="T122" s="145"/>
      <c r="U122" s="145"/>
      <c r="V122" s="145"/>
      <c r="W122" s="145"/>
    </row>
    <row r="123" spans="1:23" ht="24" hidden="1">
      <c r="A123" s="100" t="s">
        <v>165</v>
      </c>
      <c r="B123" s="88"/>
      <c r="C123" s="88"/>
      <c r="D123" s="88"/>
      <c r="E123" s="123" t="s">
        <v>87</v>
      </c>
      <c r="F123" s="146">
        <f>G123+J123</f>
        <v>0</v>
      </c>
      <c r="G123" s="147"/>
      <c r="H123" s="82"/>
      <c r="I123" s="82"/>
      <c r="J123" s="82"/>
      <c r="K123" s="163">
        <f t="shared" si="24"/>
        <v>0</v>
      </c>
      <c r="L123" s="118">
        <f t="shared" si="21"/>
        <v>0</v>
      </c>
      <c r="M123" s="82">
        <v>0</v>
      </c>
      <c r="N123" s="82">
        <v>0</v>
      </c>
      <c r="O123" s="82">
        <v>0</v>
      </c>
      <c r="P123" s="82">
        <v>0</v>
      </c>
      <c r="Q123" s="163">
        <f>F123+K123</f>
        <v>0</v>
      </c>
      <c r="R123" s="145"/>
      <c r="S123" s="145"/>
      <c r="T123" s="145"/>
      <c r="U123" s="145"/>
      <c r="V123" s="145"/>
      <c r="W123" s="145"/>
    </row>
    <row r="124" spans="1:23" ht="14.25" hidden="1">
      <c r="A124" s="100" t="s">
        <v>166</v>
      </c>
      <c r="B124" s="382" t="s">
        <v>407</v>
      </c>
      <c r="C124" s="383"/>
      <c r="D124" s="384"/>
      <c r="E124" s="119" t="s">
        <v>408</v>
      </c>
      <c r="F124" s="154">
        <f>F125+F127</f>
        <v>0</v>
      </c>
      <c r="G124" s="155">
        <f aca="true" t="shared" si="33" ref="G124:Q124">G125+G127</f>
        <v>0</v>
      </c>
      <c r="H124" s="155">
        <f t="shared" si="33"/>
        <v>0</v>
      </c>
      <c r="I124" s="155">
        <f t="shared" si="33"/>
        <v>0</v>
      </c>
      <c r="J124" s="155">
        <f t="shared" si="33"/>
        <v>0</v>
      </c>
      <c r="K124" s="155">
        <f t="shared" si="33"/>
        <v>0</v>
      </c>
      <c r="L124" s="118">
        <f t="shared" si="21"/>
        <v>0</v>
      </c>
      <c r="M124" s="155">
        <f t="shared" si="33"/>
        <v>0</v>
      </c>
      <c r="N124" s="155">
        <f t="shared" si="33"/>
        <v>0</v>
      </c>
      <c r="O124" s="155">
        <f t="shared" si="33"/>
        <v>0</v>
      </c>
      <c r="P124" s="155">
        <f t="shared" si="33"/>
        <v>0</v>
      </c>
      <c r="Q124" s="155">
        <f t="shared" si="33"/>
        <v>0</v>
      </c>
      <c r="R124" s="145"/>
      <c r="S124" s="145"/>
      <c r="T124" s="145"/>
      <c r="U124" s="145"/>
      <c r="V124" s="145"/>
      <c r="W124" s="145"/>
    </row>
    <row r="125" spans="1:23" ht="24" hidden="1">
      <c r="A125" s="100"/>
      <c r="B125" s="382" t="s">
        <v>409</v>
      </c>
      <c r="C125" s="383"/>
      <c r="D125" s="384"/>
      <c r="E125" s="119" t="s">
        <v>410</v>
      </c>
      <c r="F125" s="154">
        <f>F126</f>
        <v>0</v>
      </c>
      <c r="G125" s="155">
        <f aca="true" t="shared" si="34" ref="G125:Q125">G126</f>
        <v>0</v>
      </c>
      <c r="H125" s="155">
        <f t="shared" si="34"/>
        <v>0</v>
      </c>
      <c r="I125" s="155">
        <f t="shared" si="34"/>
        <v>0</v>
      </c>
      <c r="J125" s="155">
        <f t="shared" si="34"/>
        <v>0</v>
      </c>
      <c r="K125" s="155">
        <f t="shared" si="34"/>
        <v>0</v>
      </c>
      <c r="L125" s="118">
        <f t="shared" si="21"/>
        <v>0</v>
      </c>
      <c r="M125" s="155">
        <f t="shared" si="34"/>
        <v>0</v>
      </c>
      <c r="N125" s="155">
        <f t="shared" si="34"/>
        <v>0</v>
      </c>
      <c r="O125" s="155">
        <f t="shared" si="34"/>
        <v>0</v>
      </c>
      <c r="P125" s="155">
        <f t="shared" si="34"/>
        <v>0</v>
      </c>
      <c r="Q125" s="155">
        <f t="shared" si="34"/>
        <v>0</v>
      </c>
      <c r="R125" s="145"/>
      <c r="S125" s="145"/>
      <c r="T125" s="145"/>
      <c r="U125" s="145"/>
      <c r="V125" s="145"/>
      <c r="W125" s="145"/>
    </row>
    <row r="126" spans="1:23" ht="36" hidden="1">
      <c r="A126" s="100" t="s">
        <v>167</v>
      </c>
      <c r="B126" s="131" t="s">
        <v>353</v>
      </c>
      <c r="C126" s="132" t="s">
        <v>302</v>
      </c>
      <c r="D126" s="132" t="s">
        <v>235</v>
      </c>
      <c r="E126" s="117" t="s">
        <v>269</v>
      </c>
      <c r="F126" s="146"/>
      <c r="G126" s="147"/>
      <c r="H126" s="82"/>
      <c r="I126" s="82"/>
      <c r="J126" s="82">
        <v>0</v>
      </c>
      <c r="K126" s="163">
        <f t="shared" si="24"/>
        <v>0</v>
      </c>
      <c r="L126" s="118">
        <f t="shared" si="21"/>
        <v>0</v>
      </c>
      <c r="M126" s="82">
        <v>0</v>
      </c>
      <c r="N126" s="82">
        <v>0</v>
      </c>
      <c r="O126" s="82">
        <v>0</v>
      </c>
      <c r="P126" s="82">
        <f>72806-43300-29506</f>
        <v>0</v>
      </c>
      <c r="Q126" s="163">
        <f>F126+K126</f>
        <v>0</v>
      </c>
      <c r="R126" s="145"/>
      <c r="S126" s="145"/>
      <c r="T126" s="145"/>
      <c r="U126" s="145"/>
      <c r="V126" s="145"/>
      <c r="W126" s="145"/>
    </row>
    <row r="127" spans="1:23" ht="24" hidden="1">
      <c r="A127" s="100"/>
      <c r="B127" s="379" t="s">
        <v>411</v>
      </c>
      <c r="C127" s="393"/>
      <c r="D127" s="394"/>
      <c r="E127" s="119" t="s">
        <v>412</v>
      </c>
      <c r="F127" s="154">
        <f>F128</f>
        <v>0</v>
      </c>
      <c r="G127" s="155">
        <f aca="true" t="shared" si="35" ref="G127:Q127">G128</f>
        <v>0</v>
      </c>
      <c r="H127" s="155">
        <f t="shared" si="35"/>
        <v>0</v>
      </c>
      <c r="I127" s="155">
        <f t="shared" si="35"/>
        <v>0</v>
      </c>
      <c r="J127" s="155">
        <f t="shared" si="35"/>
        <v>0</v>
      </c>
      <c r="K127" s="155">
        <f t="shared" si="35"/>
        <v>0</v>
      </c>
      <c r="L127" s="118">
        <f t="shared" si="21"/>
        <v>0</v>
      </c>
      <c r="M127" s="155">
        <f t="shared" si="35"/>
        <v>0</v>
      </c>
      <c r="N127" s="155">
        <f t="shared" si="35"/>
        <v>0</v>
      </c>
      <c r="O127" s="155">
        <f t="shared" si="35"/>
        <v>0</v>
      </c>
      <c r="P127" s="155">
        <f t="shared" si="35"/>
        <v>0</v>
      </c>
      <c r="Q127" s="155">
        <f t="shared" si="35"/>
        <v>0</v>
      </c>
      <c r="R127" s="145"/>
      <c r="S127" s="145"/>
      <c r="T127" s="145"/>
      <c r="U127" s="145"/>
      <c r="V127" s="145"/>
      <c r="W127" s="145"/>
    </row>
    <row r="128" spans="1:23" ht="36" hidden="1">
      <c r="A128" s="100" t="s">
        <v>168</v>
      </c>
      <c r="B128" s="131" t="s">
        <v>354</v>
      </c>
      <c r="C128" s="132" t="s">
        <v>303</v>
      </c>
      <c r="D128" s="132" t="s">
        <v>235</v>
      </c>
      <c r="E128" s="117" t="s">
        <v>355</v>
      </c>
      <c r="F128" s="146">
        <f>G128+J128</f>
        <v>0</v>
      </c>
      <c r="G128" s="147"/>
      <c r="H128" s="82">
        <v>0</v>
      </c>
      <c r="I128" s="82">
        <v>0</v>
      </c>
      <c r="J128" s="82">
        <v>0</v>
      </c>
      <c r="K128" s="163">
        <f t="shared" si="24"/>
        <v>0</v>
      </c>
      <c r="L128" s="118">
        <f t="shared" si="21"/>
        <v>0</v>
      </c>
      <c r="M128" s="82">
        <v>0</v>
      </c>
      <c r="N128" s="82">
        <v>0</v>
      </c>
      <c r="O128" s="82">
        <v>0</v>
      </c>
      <c r="P128" s="82">
        <v>0</v>
      </c>
      <c r="Q128" s="163">
        <f aca="true" t="shared" si="36" ref="Q128:Q171">F128+K128</f>
        <v>0</v>
      </c>
      <c r="R128" s="145"/>
      <c r="S128" s="145"/>
      <c r="T128" s="145"/>
      <c r="U128" s="145"/>
      <c r="V128" s="145"/>
      <c r="W128" s="145"/>
    </row>
    <row r="129" spans="1:23" s="76" customFormat="1" ht="27.75" customHeight="1">
      <c r="A129" s="101"/>
      <c r="B129" s="359" t="s">
        <v>326</v>
      </c>
      <c r="C129" s="359"/>
      <c r="D129" s="359"/>
      <c r="E129" s="18" t="s">
        <v>108</v>
      </c>
      <c r="F129" s="233">
        <f>F130+F131+F132+F133+F134+F135+F136+F140+F143+F144+F145+F146+F147+F148+F149+F153+F154+F155+F156+F157+F160+F161+F162+F164+F165+F166+F167+F170+F173+F175+F163+F158+F151+F159+F171</f>
        <v>135618411</v>
      </c>
      <c r="G129" s="233">
        <f>G130+G131+G132+G133+G134+G135+G136+G140+G143+G144+G145+G146+G147+G148+G149+G153+G154+G155+G156+G157+G160+G161+G162+G164+G165+G166+G167+G170+G173+G175+G163+G158+G151+G159+G171</f>
        <v>135618411</v>
      </c>
      <c r="H129" s="171">
        <f>H130+H131+H132+H133+H134+H135+H136+H140+H143+H144+H145+H146+H147+H148+H149+H153+H154+H155+H156+H157+H160+H161+H162+H164+H165+H166+H167+H170+H173+H175+H171</f>
        <v>5102500</v>
      </c>
      <c r="I129" s="171">
        <f>I130+I131+I132+I133+I134+I135+I136+I140+I143+I144+I145+I146+I147+I148+I149+I153+I154+I155+I156+I157+I160+I161+I162+I164+I165+I166+I167+I170+I173+I175</f>
        <v>92600</v>
      </c>
      <c r="J129" s="171">
        <f>J130+J131+J132+J133+J134+J135+J136+J140+J143+J144+J145+J146+J147+J148+J149+J153+J154+J155+J156+J157+J160+J161+J162+J164+J165+J166+J167+J170+J173+J175+J151</f>
        <v>0</v>
      </c>
      <c r="K129" s="171">
        <f aca="true" t="shared" si="37" ref="K129:P129">K130+K131+K132+K133+K134+K135+K136+K140+K143+K144+K145+K146+K147+K148+K149+K153+K154+K155+K156+K157+K160+K161+K162+K164+K165+K166+K167+K170+K173+K175+K177</f>
        <v>1912420</v>
      </c>
      <c r="L129" s="171">
        <f t="shared" si="37"/>
        <v>1822420</v>
      </c>
      <c r="M129" s="171">
        <f t="shared" si="37"/>
        <v>90000</v>
      </c>
      <c r="N129" s="171">
        <f t="shared" si="37"/>
        <v>0</v>
      </c>
      <c r="O129" s="171">
        <f t="shared" si="37"/>
        <v>12000</v>
      </c>
      <c r="P129" s="171">
        <f t="shared" si="37"/>
        <v>1822420</v>
      </c>
      <c r="Q129" s="175">
        <f>F129+K129</f>
        <v>137530831</v>
      </c>
      <c r="R129" s="159"/>
      <c r="S129" s="159"/>
      <c r="T129" s="159"/>
      <c r="U129" s="159"/>
      <c r="V129" s="159"/>
      <c r="W129" s="159"/>
    </row>
    <row r="130" spans="1:23" ht="39" customHeight="1">
      <c r="A130" s="100" t="s">
        <v>169</v>
      </c>
      <c r="B130" s="131" t="s">
        <v>357</v>
      </c>
      <c r="C130" s="135">
        <v>3011</v>
      </c>
      <c r="D130" s="135">
        <v>1030</v>
      </c>
      <c r="E130" s="117" t="s">
        <v>356</v>
      </c>
      <c r="F130" s="344">
        <f>G130+J130</f>
        <v>13742125.43</v>
      </c>
      <c r="G130" s="345">
        <f>17800000-2358762.37-711183.25-1204055+216126.05</f>
        <v>13742125.43</v>
      </c>
      <c r="H130" s="174">
        <v>0</v>
      </c>
      <c r="I130" s="174">
        <v>0</v>
      </c>
      <c r="J130" s="174">
        <v>0</v>
      </c>
      <c r="K130" s="175">
        <f>M130+P130</f>
        <v>0</v>
      </c>
      <c r="L130" s="118">
        <f t="shared" si="21"/>
        <v>0</v>
      </c>
      <c r="M130" s="174">
        <v>0</v>
      </c>
      <c r="N130" s="174">
        <v>0</v>
      </c>
      <c r="O130" s="174">
        <v>0</v>
      </c>
      <c r="P130" s="174">
        <v>0</v>
      </c>
      <c r="Q130" s="175">
        <f t="shared" si="36"/>
        <v>13742125.43</v>
      </c>
      <c r="R130" s="145"/>
      <c r="S130" s="145"/>
      <c r="T130" s="145"/>
      <c r="U130" s="145"/>
      <c r="V130" s="145"/>
      <c r="W130" s="145"/>
    </row>
    <row r="131" spans="1:23" ht="39" customHeight="1">
      <c r="A131" s="100" t="s">
        <v>170</v>
      </c>
      <c r="B131" s="131" t="s">
        <v>358</v>
      </c>
      <c r="C131" s="135">
        <v>3012</v>
      </c>
      <c r="D131" s="135">
        <v>1060</v>
      </c>
      <c r="E131" s="117" t="s">
        <v>270</v>
      </c>
      <c r="F131" s="344">
        <f>G131+J131</f>
        <v>27468874.569999997</v>
      </c>
      <c r="G131" s="346">
        <f>65522000-39291637.63+1204055+34457.2</f>
        <v>27468874.569999997</v>
      </c>
      <c r="H131" s="174">
        <v>0</v>
      </c>
      <c r="I131" s="174">
        <v>0</v>
      </c>
      <c r="J131" s="174">
        <v>0</v>
      </c>
      <c r="K131" s="175">
        <f t="shared" si="24"/>
        <v>0</v>
      </c>
      <c r="L131" s="118">
        <f t="shared" si="21"/>
        <v>0</v>
      </c>
      <c r="M131" s="175">
        <v>0</v>
      </c>
      <c r="N131" s="174">
        <v>0</v>
      </c>
      <c r="O131" s="174">
        <v>0</v>
      </c>
      <c r="P131" s="174">
        <v>0</v>
      </c>
      <c r="Q131" s="175">
        <f t="shared" si="36"/>
        <v>27468874.569999997</v>
      </c>
      <c r="R131" s="145"/>
      <c r="S131" s="145"/>
      <c r="T131" s="145"/>
      <c r="U131" s="145"/>
      <c r="V131" s="145"/>
      <c r="W131" s="145"/>
    </row>
    <row r="132" spans="1:23" ht="48">
      <c r="A132" s="100" t="s">
        <v>231</v>
      </c>
      <c r="B132" s="132" t="s">
        <v>359</v>
      </c>
      <c r="C132" s="135">
        <v>3021</v>
      </c>
      <c r="D132" s="135">
        <v>1030</v>
      </c>
      <c r="E132" s="117" t="s">
        <v>360</v>
      </c>
      <c r="F132" s="254">
        <f aca="true" t="shared" si="38" ref="F132:F173">G132+J132</f>
        <v>459840</v>
      </c>
      <c r="G132" s="176">
        <v>459840</v>
      </c>
      <c r="H132" s="174">
        <v>0</v>
      </c>
      <c r="I132" s="174">
        <v>0</v>
      </c>
      <c r="J132" s="174">
        <v>0</v>
      </c>
      <c r="K132" s="175">
        <f t="shared" si="24"/>
        <v>0</v>
      </c>
      <c r="L132" s="118">
        <f t="shared" si="21"/>
        <v>0</v>
      </c>
      <c r="M132" s="177">
        <v>0</v>
      </c>
      <c r="N132" s="174">
        <v>0</v>
      </c>
      <c r="O132" s="174">
        <v>0</v>
      </c>
      <c r="P132" s="174"/>
      <c r="Q132" s="175">
        <f t="shared" si="36"/>
        <v>459840</v>
      </c>
      <c r="R132" s="145"/>
      <c r="S132" s="145"/>
      <c r="T132" s="145"/>
      <c r="U132" s="145"/>
      <c r="V132" s="145"/>
      <c r="W132" s="145"/>
    </row>
    <row r="133" spans="1:23" ht="48.75" customHeight="1">
      <c r="A133" s="100" t="s">
        <v>171</v>
      </c>
      <c r="B133" s="132" t="s">
        <v>361</v>
      </c>
      <c r="C133" s="135">
        <v>3022</v>
      </c>
      <c r="D133" s="135">
        <v>1060</v>
      </c>
      <c r="E133" s="117" t="s">
        <v>271</v>
      </c>
      <c r="F133" s="254">
        <f t="shared" si="38"/>
        <v>1748660</v>
      </c>
      <c r="G133" s="176">
        <v>1748660</v>
      </c>
      <c r="H133" s="174">
        <v>0</v>
      </c>
      <c r="I133" s="174">
        <v>0</v>
      </c>
      <c r="J133" s="174">
        <v>0</v>
      </c>
      <c r="K133" s="175">
        <f t="shared" si="24"/>
        <v>0</v>
      </c>
      <c r="L133" s="118">
        <f t="shared" si="21"/>
        <v>0</v>
      </c>
      <c r="M133" s="177">
        <v>0</v>
      </c>
      <c r="N133" s="174">
        <v>0</v>
      </c>
      <c r="O133" s="174">
        <v>0</v>
      </c>
      <c r="P133" s="174">
        <v>0</v>
      </c>
      <c r="Q133" s="175">
        <f t="shared" si="36"/>
        <v>1748660</v>
      </c>
      <c r="R133" s="145"/>
      <c r="S133" s="145"/>
      <c r="T133" s="145"/>
      <c r="U133" s="145"/>
      <c r="V133" s="145"/>
      <c r="W133" s="145"/>
    </row>
    <row r="134" spans="1:23" s="76" customFormat="1" ht="24">
      <c r="A134" s="101" t="s">
        <v>172</v>
      </c>
      <c r="B134" s="131" t="s">
        <v>362</v>
      </c>
      <c r="C134" s="139">
        <v>3031</v>
      </c>
      <c r="D134" s="139">
        <v>1030</v>
      </c>
      <c r="E134" s="128" t="s">
        <v>363</v>
      </c>
      <c r="F134" s="255">
        <f t="shared" si="38"/>
        <v>20000</v>
      </c>
      <c r="G134" s="182">
        <f>10000+10000</f>
        <v>20000</v>
      </c>
      <c r="H134" s="183">
        <v>0</v>
      </c>
      <c r="I134" s="183">
        <v>0</v>
      </c>
      <c r="J134" s="183">
        <v>0</v>
      </c>
      <c r="K134" s="172">
        <f t="shared" si="24"/>
        <v>0</v>
      </c>
      <c r="L134" s="118">
        <f t="shared" si="21"/>
        <v>0</v>
      </c>
      <c r="M134" s="182">
        <v>0</v>
      </c>
      <c r="N134" s="183">
        <v>0</v>
      </c>
      <c r="O134" s="183">
        <v>0</v>
      </c>
      <c r="P134" s="183">
        <v>0</v>
      </c>
      <c r="Q134" s="172">
        <f t="shared" si="36"/>
        <v>20000</v>
      </c>
      <c r="R134" s="159"/>
      <c r="S134" s="159"/>
      <c r="T134" s="159"/>
      <c r="U134" s="159"/>
      <c r="V134" s="159"/>
      <c r="W134" s="159"/>
    </row>
    <row r="135" spans="1:23" s="76" customFormat="1" ht="24">
      <c r="A135" s="101" t="s">
        <v>173</v>
      </c>
      <c r="B135" s="131" t="s">
        <v>364</v>
      </c>
      <c r="C135" s="139">
        <v>3032</v>
      </c>
      <c r="D135" s="139">
        <v>1070</v>
      </c>
      <c r="E135" s="128" t="s">
        <v>273</v>
      </c>
      <c r="F135" s="255">
        <f t="shared" si="38"/>
        <v>119864</v>
      </c>
      <c r="G135" s="182">
        <f>100000+19864</f>
        <v>119864</v>
      </c>
      <c r="H135" s="183">
        <v>0</v>
      </c>
      <c r="I135" s="183">
        <v>0</v>
      </c>
      <c r="J135" s="183">
        <v>0</v>
      </c>
      <c r="K135" s="172">
        <f t="shared" si="24"/>
        <v>0</v>
      </c>
      <c r="L135" s="118">
        <f t="shared" si="21"/>
        <v>0</v>
      </c>
      <c r="M135" s="183">
        <v>0</v>
      </c>
      <c r="N135" s="183">
        <v>0</v>
      </c>
      <c r="O135" s="183">
        <v>0</v>
      </c>
      <c r="P135" s="183">
        <v>0</v>
      </c>
      <c r="Q135" s="172">
        <f t="shared" si="36"/>
        <v>119864</v>
      </c>
      <c r="R135" s="159"/>
      <c r="S135" s="159"/>
      <c r="T135" s="159"/>
      <c r="U135" s="159"/>
      <c r="V135" s="159"/>
      <c r="W135" s="159"/>
    </row>
    <row r="136" spans="1:23" s="76" customFormat="1" ht="36.75" customHeight="1">
      <c r="A136" s="101" t="s">
        <v>174</v>
      </c>
      <c r="B136" s="131" t="s">
        <v>365</v>
      </c>
      <c r="C136" s="139">
        <v>3033</v>
      </c>
      <c r="D136" s="139">
        <v>1070</v>
      </c>
      <c r="E136" s="128" t="s">
        <v>366</v>
      </c>
      <c r="F136" s="255">
        <f t="shared" si="38"/>
        <v>1150000</v>
      </c>
      <c r="G136" s="182">
        <f>850000-330000+600000+30000</f>
        <v>1150000</v>
      </c>
      <c r="H136" s="183">
        <v>0</v>
      </c>
      <c r="I136" s="183">
        <v>0</v>
      </c>
      <c r="J136" s="183">
        <v>0</v>
      </c>
      <c r="K136" s="172">
        <f t="shared" si="24"/>
        <v>0</v>
      </c>
      <c r="L136" s="118">
        <f t="shared" si="21"/>
        <v>0</v>
      </c>
      <c r="M136" s="172">
        <v>0</v>
      </c>
      <c r="N136" s="183">
        <v>0</v>
      </c>
      <c r="O136" s="183">
        <v>0</v>
      </c>
      <c r="P136" s="183">
        <v>0</v>
      </c>
      <c r="Q136" s="172">
        <f t="shared" si="36"/>
        <v>1150000</v>
      </c>
      <c r="R136" s="159"/>
      <c r="S136" s="159"/>
      <c r="T136" s="159"/>
      <c r="U136" s="159"/>
      <c r="V136" s="159"/>
      <c r="W136" s="159"/>
    </row>
    <row r="137" spans="1:23" s="78" customFormat="1" ht="72" hidden="1">
      <c r="A137" s="104" t="s">
        <v>175</v>
      </c>
      <c r="B137" s="136">
        <v>1513033</v>
      </c>
      <c r="C137" s="137">
        <v>3033</v>
      </c>
      <c r="D137" s="137"/>
      <c r="E137" s="133" t="s">
        <v>272</v>
      </c>
      <c r="F137" s="256">
        <f t="shared" si="38"/>
        <v>0</v>
      </c>
      <c r="G137" s="178"/>
      <c r="H137" s="179">
        <v>0</v>
      </c>
      <c r="I137" s="179">
        <v>0</v>
      </c>
      <c r="J137" s="179">
        <v>0</v>
      </c>
      <c r="K137" s="180">
        <f t="shared" si="24"/>
        <v>0</v>
      </c>
      <c r="L137" s="118">
        <f t="shared" si="21"/>
        <v>0</v>
      </c>
      <c r="M137" s="178">
        <v>0</v>
      </c>
      <c r="N137" s="179">
        <v>0</v>
      </c>
      <c r="O137" s="179">
        <v>0</v>
      </c>
      <c r="P137" s="179">
        <v>0</v>
      </c>
      <c r="Q137" s="180">
        <f t="shared" si="36"/>
        <v>0</v>
      </c>
      <c r="R137" s="181"/>
      <c r="S137" s="181"/>
      <c r="T137" s="181"/>
      <c r="U137" s="181"/>
      <c r="V137" s="181"/>
      <c r="W137" s="181"/>
    </row>
    <row r="138" spans="1:23" ht="12.75" hidden="1">
      <c r="A138" s="100" t="s">
        <v>176</v>
      </c>
      <c r="B138" s="138"/>
      <c r="C138" s="135"/>
      <c r="D138" s="135"/>
      <c r="E138" s="117"/>
      <c r="F138" s="254">
        <f t="shared" si="38"/>
        <v>0</v>
      </c>
      <c r="G138" s="176"/>
      <c r="H138" s="174">
        <v>0</v>
      </c>
      <c r="I138" s="174">
        <v>0</v>
      </c>
      <c r="J138" s="174">
        <v>0</v>
      </c>
      <c r="K138" s="175">
        <f t="shared" si="24"/>
        <v>0</v>
      </c>
      <c r="L138" s="118">
        <f t="shared" si="21"/>
        <v>0</v>
      </c>
      <c r="M138" s="177">
        <v>0</v>
      </c>
      <c r="N138" s="174">
        <v>0</v>
      </c>
      <c r="O138" s="174">
        <v>0</v>
      </c>
      <c r="P138" s="174">
        <v>0</v>
      </c>
      <c r="Q138" s="175">
        <f t="shared" si="36"/>
        <v>0</v>
      </c>
      <c r="R138" s="145"/>
      <c r="S138" s="145"/>
      <c r="T138" s="145"/>
      <c r="U138" s="145"/>
      <c r="V138" s="145"/>
      <c r="W138" s="145"/>
    </row>
    <row r="139" spans="1:23" ht="12.75" hidden="1">
      <c r="A139" s="100" t="s">
        <v>177</v>
      </c>
      <c r="B139" s="138"/>
      <c r="C139" s="135"/>
      <c r="D139" s="135"/>
      <c r="E139" s="117"/>
      <c r="F139" s="254">
        <f>G139+J139</f>
        <v>0</v>
      </c>
      <c r="G139" s="176"/>
      <c r="H139" s="174">
        <v>0</v>
      </c>
      <c r="I139" s="174">
        <v>0</v>
      </c>
      <c r="J139" s="174">
        <v>0</v>
      </c>
      <c r="K139" s="175">
        <f t="shared" si="24"/>
        <v>0</v>
      </c>
      <c r="L139" s="118">
        <f t="shared" si="21"/>
        <v>0</v>
      </c>
      <c r="M139" s="177">
        <v>0</v>
      </c>
      <c r="N139" s="174">
        <v>0</v>
      </c>
      <c r="O139" s="174">
        <v>0</v>
      </c>
      <c r="P139" s="174">
        <v>0</v>
      </c>
      <c r="Q139" s="175">
        <f t="shared" si="36"/>
        <v>0</v>
      </c>
      <c r="R139" s="145"/>
      <c r="S139" s="145"/>
      <c r="T139" s="145"/>
      <c r="U139" s="145"/>
      <c r="V139" s="145"/>
      <c r="W139" s="145"/>
    </row>
    <row r="140" spans="1:23" ht="34.5" customHeight="1">
      <c r="A140" s="100" t="s">
        <v>178</v>
      </c>
      <c r="B140" s="131" t="s">
        <v>367</v>
      </c>
      <c r="C140" s="135">
        <v>3050</v>
      </c>
      <c r="D140" s="135">
        <v>1070</v>
      </c>
      <c r="E140" s="117" t="s">
        <v>281</v>
      </c>
      <c r="F140" s="254">
        <f t="shared" si="38"/>
        <v>37093</v>
      </c>
      <c r="G140" s="173">
        <f>17093+20000</f>
        <v>37093</v>
      </c>
      <c r="H140" s="174">
        <v>0</v>
      </c>
      <c r="I140" s="174">
        <v>0</v>
      </c>
      <c r="J140" s="174">
        <v>0</v>
      </c>
      <c r="K140" s="175">
        <f t="shared" si="24"/>
        <v>0</v>
      </c>
      <c r="L140" s="118">
        <f t="shared" si="21"/>
        <v>0</v>
      </c>
      <c r="M140" s="174">
        <v>0</v>
      </c>
      <c r="N140" s="174">
        <v>0</v>
      </c>
      <c r="O140" s="174">
        <v>0</v>
      </c>
      <c r="P140" s="174">
        <v>0</v>
      </c>
      <c r="Q140" s="175">
        <f t="shared" si="36"/>
        <v>37093</v>
      </c>
      <c r="R140" s="145"/>
      <c r="S140" s="145"/>
      <c r="T140" s="145"/>
      <c r="U140" s="145"/>
      <c r="V140" s="145"/>
      <c r="W140" s="145"/>
    </row>
    <row r="141" spans="1:23" s="76" customFormat="1" ht="12.75" hidden="1">
      <c r="A141" s="101" t="s">
        <v>179</v>
      </c>
      <c r="B141" s="97"/>
      <c r="C141" s="92"/>
      <c r="D141" s="92"/>
      <c r="E141" s="128"/>
      <c r="F141" s="255">
        <f t="shared" si="38"/>
        <v>0</v>
      </c>
      <c r="G141" s="182"/>
      <c r="H141" s="182">
        <v>0</v>
      </c>
      <c r="I141" s="182">
        <v>0</v>
      </c>
      <c r="J141" s="182">
        <v>0</v>
      </c>
      <c r="K141" s="172">
        <f t="shared" si="24"/>
        <v>0</v>
      </c>
      <c r="L141" s="118">
        <f t="shared" si="21"/>
        <v>0</v>
      </c>
      <c r="M141" s="182">
        <v>0</v>
      </c>
      <c r="N141" s="183">
        <v>0</v>
      </c>
      <c r="O141" s="183">
        <v>0</v>
      </c>
      <c r="P141" s="183">
        <v>0</v>
      </c>
      <c r="Q141" s="172">
        <f t="shared" si="36"/>
        <v>0</v>
      </c>
      <c r="R141" s="159"/>
      <c r="S141" s="159"/>
      <c r="T141" s="159"/>
      <c r="U141" s="159"/>
      <c r="V141" s="159"/>
      <c r="W141" s="159"/>
    </row>
    <row r="142" spans="1:23" ht="12.75" hidden="1">
      <c r="A142" s="100" t="s">
        <v>180</v>
      </c>
      <c r="B142" s="84"/>
      <c r="C142" s="88"/>
      <c r="D142" s="88"/>
      <c r="E142" s="117"/>
      <c r="F142" s="254">
        <f t="shared" si="38"/>
        <v>0</v>
      </c>
      <c r="G142" s="176"/>
      <c r="H142" s="177">
        <v>0</v>
      </c>
      <c r="I142" s="177">
        <v>0</v>
      </c>
      <c r="J142" s="177">
        <v>0</v>
      </c>
      <c r="K142" s="175">
        <f t="shared" si="24"/>
        <v>0</v>
      </c>
      <c r="L142" s="118">
        <f t="shared" si="21"/>
        <v>0</v>
      </c>
      <c r="M142" s="177">
        <v>0</v>
      </c>
      <c r="N142" s="174">
        <v>0</v>
      </c>
      <c r="O142" s="174">
        <v>0</v>
      </c>
      <c r="P142" s="174">
        <v>0</v>
      </c>
      <c r="Q142" s="175">
        <f t="shared" si="36"/>
        <v>0</v>
      </c>
      <c r="R142" s="145"/>
      <c r="S142" s="145"/>
      <c r="T142" s="145"/>
      <c r="U142" s="145"/>
      <c r="V142" s="145"/>
      <c r="W142" s="145"/>
    </row>
    <row r="143" spans="1:23" ht="24" customHeight="1">
      <c r="A143" s="100" t="s">
        <v>181</v>
      </c>
      <c r="B143" s="132" t="s">
        <v>369</v>
      </c>
      <c r="C143" s="135">
        <v>3041</v>
      </c>
      <c r="D143" s="135">
        <v>1040</v>
      </c>
      <c r="E143" s="117" t="s">
        <v>274</v>
      </c>
      <c r="F143" s="254">
        <f t="shared" si="38"/>
        <v>621153</v>
      </c>
      <c r="G143" s="176">
        <v>621153</v>
      </c>
      <c r="H143" s="177">
        <v>0</v>
      </c>
      <c r="I143" s="177">
        <v>0</v>
      </c>
      <c r="J143" s="177">
        <v>0</v>
      </c>
      <c r="K143" s="175">
        <f aca="true" t="shared" si="39" ref="K143:K171">M143+P143</f>
        <v>0</v>
      </c>
      <c r="L143" s="118">
        <f t="shared" si="21"/>
        <v>0</v>
      </c>
      <c r="M143" s="174">
        <v>0</v>
      </c>
      <c r="N143" s="174">
        <v>0</v>
      </c>
      <c r="O143" s="174">
        <v>0</v>
      </c>
      <c r="P143" s="174">
        <v>0</v>
      </c>
      <c r="Q143" s="175">
        <f t="shared" si="36"/>
        <v>621153</v>
      </c>
      <c r="R143" s="145"/>
      <c r="S143" s="145"/>
      <c r="T143" s="145"/>
      <c r="U143" s="145"/>
      <c r="V143" s="145"/>
      <c r="W143" s="145"/>
    </row>
    <row r="144" spans="1:23" ht="12.75">
      <c r="A144" s="100" t="s">
        <v>182</v>
      </c>
      <c r="B144" s="132" t="s">
        <v>370</v>
      </c>
      <c r="C144" s="135">
        <v>3042</v>
      </c>
      <c r="D144" s="135">
        <v>1040</v>
      </c>
      <c r="E144" s="117" t="s">
        <v>280</v>
      </c>
      <c r="F144" s="254">
        <f t="shared" si="38"/>
        <v>41280</v>
      </c>
      <c r="G144" s="173">
        <v>41280</v>
      </c>
      <c r="H144" s="177">
        <v>0</v>
      </c>
      <c r="I144" s="177">
        <v>0</v>
      </c>
      <c r="J144" s="177">
        <v>0</v>
      </c>
      <c r="K144" s="175">
        <f t="shared" si="39"/>
        <v>0</v>
      </c>
      <c r="L144" s="118">
        <f t="shared" si="21"/>
        <v>0</v>
      </c>
      <c r="M144" s="174">
        <v>0</v>
      </c>
      <c r="N144" s="174">
        <v>0</v>
      </c>
      <c r="O144" s="174">
        <v>0</v>
      </c>
      <c r="P144" s="174">
        <v>0</v>
      </c>
      <c r="Q144" s="175">
        <f t="shared" si="36"/>
        <v>41280</v>
      </c>
      <c r="R144" s="145"/>
      <c r="S144" s="145"/>
      <c r="T144" s="145"/>
      <c r="U144" s="145"/>
      <c r="V144" s="145"/>
      <c r="W144" s="145"/>
    </row>
    <row r="145" spans="1:23" ht="15" customHeight="1">
      <c r="A145" s="100" t="s">
        <v>183</v>
      </c>
      <c r="B145" s="131" t="s">
        <v>371</v>
      </c>
      <c r="C145" s="139">
        <v>3043</v>
      </c>
      <c r="D145" s="135">
        <v>1040</v>
      </c>
      <c r="E145" s="117" t="s">
        <v>275</v>
      </c>
      <c r="F145" s="254">
        <f t="shared" si="38"/>
        <v>24247160</v>
      </c>
      <c r="G145" s="176">
        <f>28883160-36000-300000-200000-1500000-2600000</f>
        <v>24247160</v>
      </c>
      <c r="H145" s="177">
        <v>0</v>
      </c>
      <c r="I145" s="177">
        <v>0</v>
      </c>
      <c r="J145" s="177">
        <v>0</v>
      </c>
      <c r="K145" s="175">
        <f t="shared" si="39"/>
        <v>0</v>
      </c>
      <c r="L145" s="118">
        <f t="shared" si="21"/>
        <v>0</v>
      </c>
      <c r="M145" s="174">
        <v>0</v>
      </c>
      <c r="N145" s="174">
        <v>0</v>
      </c>
      <c r="O145" s="174">
        <v>0</v>
      </c>
      <c r="P145" s="174">
        <v>0</v>
      </c>
      <c r="Q145" s="175">
        <f t="shared" si="36"/>
        <v>24247160</v>
      </c>
      <c r="R145" s="145"/>
      <c r="S145" s="145"/>
      <c r="T145" s="145"/>
      <c r="U145" s="145"/>
      <c r="V145" s="145"/>
      <c r="W145" s="145"/>
    </row>
    <row r="146" spans="1:23" ht="24">
      <c r="A146" s="100" t="s">
        <v>184</v>
      </c>
      <c r="B146" s="131" t="s">
        <v>372</v>
      </c>
      <c r="C146" s="135">
        <v>3044</v>
      </c>
      <c r="D146" s="135">
        <v>1040</v>
      </c>
      <c r="E146" s="117" t="s">
        <v>276</v>
      </c>
      <c r="F146" s="254">
        <f t="shared" si="38"/>
        <v>2937832</v>
      </c>
      <c r="G146" s="176">
        <f>3087832-150000</f>
        <v>2937832</v>
      </c>
      <c r="H146" s="177">
        <v>0</v>
      </c>
      <c r="I146" s="177">
        <v>0</v>
      </c>
      <c r="J146" s="177">
        <v>0</v>
      </c>
      <c r="K146" s="175">
        <f t="shared" si="39"/>
        <v>0</v>
      </c>
      <c r="L146" s="118">
        <f t="shared" si="21"/>
        <v>0</v>
      </c>
      <c r="M146" s="174">
        <v>0</v>
      </c>
      <c r="N146" s="174">
        <v>0</v>
      </c>
      <c r="O146" s="174">
        <v>0</v>
      </c>
      <c r="P146" s="174">
        <v>0</v>
      </c>
      <c r="Q146" s="175">
        <f t="shared" si="36"/>
        <v>2937832</v>
      </c>
      <c r="R146" s="145"/>
      <c r="S146" s="145"/>
      <c r="T146" s="145"/>
      <c r="U146" s="145"/>
      <c r="V146" s="145"/>
      <c r="W146" s="145"/>
    </row>
    <row r="147" spans="1:23" ht="21.75" customHeight="1">
      <c r="A147" s="100" t="s">
        <v>185</v>
      </c>
      <c r="B147" s="131" t="s">
        <v>373</v>
      </c>
      <c r="C147" s="135">
        <v>3045</v>
      </c>
      <c r="D147" s="135">
        <v>1040</v>
      </c>
      <c r="E147" s="117" t="s">
        <v>277</v>
      </c>
      <c r="F147" s="254">
        <f t="shared" si="38"/>
        <v>12394107</v>
      </c>
      <c r="G147" s="176">
        <f>12894107-500000</f>
        <v>12394107</v>
      </c>
      <c r="H147" s="177">
        <v>0</v>
      </c>
      <c r="I147" s="177">
        <v>0</v>
      </c>
      <c r="J147" s="177">
        <v>0</v>
      </c>
      <c r="K147" s="175">
        <f t="shared" si="39"/>
        <v>0</v>
      </c>
      <c r="L147" s="118">
        <f aca="true" t="shared" si="40" ref="L147:L212">P147</f>
        <v>0</v>
      </c>
      <c r="M147" s="174">
        <v>0</v>
      </c>
      <c r="N147" s="174">
        <v>0</v>
      </c>
      <c r="O147" s="174">
        <v>0</v>
      </c>
      <c r="P147" s="174">
        <v>0</v>
      </c>
      <c r="Q147" s="175">
        <f t="shared" si="36"/>
        <v>12394107</v>
      </c>
      <c r="R147" s="145"/>
      <c r="S147" s="145"/>
      <c r="T147" s="145"/>
      <c r="U147" s="145"/>
      <c r="V147" s="145"/>
      <c r="W147" s="145"/>
    </row>
    <row r="148" spans="1:23" ht="24">
      <c r="A148" s="100" t="s">
        <v>186</v>
      </c>
      <c r="B148" s="132" t="s">
        <v>374</v>
      </c>
      <c r="C148" s="135">
        <v>3046</v>
      </c>
      <c r="D148" s="135">
        <v>1040</v>
      </c>
      <c r="E148" s="117" t="s">
        <v>279</v>
      </c>
      <c r="F148" s="254">
        <f t="shared" si="38"/>
        <v>531894</v>
      </c>
      <c r="G148" s="176">
        <v>531894</v>
      </c>
      <c r="H148" s="177">
        <v>0</v>
      </c>
      <c r="I148" s="177">
        <v>0</v>
      </c>
      <c r="J148" s="177">
        <v>0</v>
      </c>
      <c r="K148" s="175">
        <f t="shared" si="39"/>
        <v>0</v>
      </c>
      <c r="L148" s="118">
        <f t="shared" si="40"/>
        <v>0</v>
      </c>
      <c r="M148" s="174">
        <v>0</v>
      </c>
      <c r="N148" s="174">
        <v>0</v>
      </c>
      <c r="O148" s="174">
        <v>0</v>
      </c>
      <c r="P148" s="174">
        <v>0</v>
      </c>
      <c r="Q148" s="175">
        <f t="shared" si="36"/>
        <v>531894</v>
      </c>
      <c r="R148" s="145"/>
      <c r="S148" s="145"/>
      <c r="T148" s="145"/>
      <c r="U148" s="145"/>
      <c r="V148" s="145"/>
      <c r="W148" s="145"/>
    </row>
    <row r="149" spans="1:23" ht="24">
      <c r="A149" s="100" t="s">
        <v>187</v>
      </c>
      <c r="B149" s="131" t="s">
        <v>375</v>
      </c>
      <c r="C149" s="135">
        <v>3047</v>
      </c>
      <c r="D149" s="135">
        <v>1040</v>
      </c>
      <c r="E149" s="117" t="s">
        <v>278</v>
      </c>
      <c r="F149" s="254">
        <f t="shared" si="38"/>
        <v>8723401</v>
      </c>
      <c r="G149" s="176">
        <f>9558401-35000-300000-500000</f>
        <v>8723401</v>
      </c>
      <c r="H149" s="177">
        <v>0</v>
      </c>
      <c r="I149" s="177">
        <v>0</v>
      </c>
      <c r="J149" s="177">
        <v>0</v>
      </c>
      <c r="K149" s="175">
        <f t="shared" si="39"/>
        <v>0</v>
      </c>
      <c r="L149" s="118">
        <f t="shared" si="40"/>
        <v>0</v>
      </c>
      <c r="M149" s="174">
        <v>0</v>
      </c>
      <c r="N149" s="174">
        <v>0</v>
      </c>
      <c r="O149" s="174">
        <v>0</v>
      </c>
      <c r="P149" s="174">
        <v>0</v>
      </c>
      <c r="Q149" s="175">
        <f t="shared" si="36"/>
        <v>8723401</v>
      </c>
      <c r="R149" s="145"/>
      <c r="S149" s="145"/>
      <c r="T149" s="145"/>
      <c r="U149" s="145"/>
      <c r="V149" s="145"/>
      <c r="W149" s="145"/>
    </row>
    <row r="150" spans="1:23" ht="26.25" customHeight="1" hidden="1">
      <c r="A150" s="100" t="s">
        <v>188</v>
      </c>
      <c r="B150" s="131" t="s">
        <v>376</v>
      </c>
      <c r="C150" s="135">
        <v>3048</v>
      </c>
      <c r="D150" s="135">
        <v>1040</v>
      </c>
      <c r="E150" s="117" t="s">
        <v>278</v>
      </c>
      <c r="F150" s="254">
        <f t="shared" si="38"/>
        <v>0</v>
      </c>
      <c r="G150" s="173"/>
      <c r="H150" s="177">
        <v>0</v>
      </c>
      <c r="I150" s="177">
        <v>0</v>
      </c>
      <c r="J150" s="177">
        <v>0</v>
      </c>
      <c r="K150" s="175">
        <f t="shared" si="39"/>
        <v>0</v>
      </c>
      <c r="L150" s="118">
        <f t="shared" si="40"/>
        <v>0</v>
      </c>
      <c r="M150" s="174">
        <v>0</v>
      </c>
      <c r="N150" s="174">
        <v>0</v>
      </c>
      <c r="O150" s="174">
        <v>0</v>
      </c>
      <c r="P150" s="174">
        <v>0</v>
      </c>
      <c r="Q150" s="175">
        <f t="shared" si="36"/>
        <v>0</v>
      </c>
      <c r="R150" s="145"/>
      <c r="S150" s="145"/>
      <c r="T150" s="145"/>
      <c r="U150" s="145"/>
      <c r="V150" s="145"/>
      <c r="W150" s="145"/>
    </row>
    <row r="151" spans="1:23" ht="24">
      <c r="A151" s="100" t="s">
        <v>189</v>
      </c>
      <c r="B151" s="131" t="s">
        <v>368</v>
      </c>
      <c r="C151" s="135">
        <v>3049</v>
      </c>
      <c r="D151" s="135">
        <v>1040</v>
      </c>
      <c r="E151" s="117" t="s">
        <v>622</v>
      </c>
      <c r="F151" s="254">
        <f t="shared" si="38"/>
        <v>35000</v>
      </c>
      <c r="G151" s="182">
        <v>35000</v>
      </c>
      <c r="H151" s="177">
        <v>0</v>
      </c>
      <c r="I151" s="177">
        <v>0</v>
      </c>
      <c r="J151" s="177">
        <v>0</v>
      </c>
      <c r="K151" s="175">
        <f t="shared" si="39"/>
        <v>0</v>
      </c>
      <c r="L151" s="118">
        <f t="shared" si="40"/>
        <v>0</v>
      </c>
      <c r="M151" s="177">
        <v>0</v>
      </c>
      <c r="N151" s="174">
        <v>0</v>
      </c>
      <c r="O151" s="174">
        <v>0</v>
      </c>
      <c r="P151" s="174">
        <v>0</v>
      </c>
      <c r="Q151" s="175">
        <f>F151+K151</f>
        <v>35000</v>
      </c>
      <c r="R151" s="145"/>
      <c r="S151" s="145"/>
      <c r="T151" s="145"/>
      <c r="U151" s="145"/>
      <c r="V151" s="145"/>
      <c r="W151" s="145"/>
    </row>
    <row r="152" spans="1:23" ht="48" hidden="1">
      <c r="A152" s="102" t="s">
        <v>189</v>
      </c>
      <c r="B152" s="136"/>
      <c r="C152" s="135">
        <v>3080</v>
      </c>
      <c r="D152" s="135"/>
      <c r="E152" s="134" t="s">
        <v>128</v>
      </c>
      <c r="F152" s="254">
        <f t="shared" si="38"/>
        <v>0</v>
      </c>
      <c r="G152" s="176"/>
      <c r="H152" s="177">
        <v>0</v>
      </c>
      <c r="I152" s="177">
        <v>0</v>
      </c>
      <c r="J152" s="177">
        <v>0</v>
      </c>
      <c r="K152" s="175">
        <f t="shared" si="39"/>
        <v>0</v>
      </c>
      <c r="L152" s="118">
        <f t="shared" si="40"/>
        <v>0</v>
      </c>
      <c r="M152" s="177">
        <v>0</v>
      </c>
      <c r="N152" s="174">
        <v>0</v>
      </c>
      <c r="O152" s="174">
        <v>0</v>
      </c>
      <c r="P152" s="174">
        <v>0</v>
      </c>
      <c r="Q152" s="175">
        <f t="shared" si="36"/>
        <v>0</v>
      </c>
      <c r="R152" s="145"/>
      <c r="S152" s="145"/>
      <c r="T152" s="145"/>
      <c r="U152" s="145"/>
      <c r="V152" s="145"/>
      <c r="W152" s="145"/>
    </row>
    <row r="153" spans="1:23" ht="33.75" customHeight="1">
      <c r="A153" s="102"/>
      <c r="B153" s="131" t="s">
        <v>456</v>
      </c>
      <c r="C153" s="139">
        <v>3081</v>
      </c>
      <c r="D153" s="139">
        <v>1010</v>
      </c>
      <c r="E153" s="128" t="s">
        <v>431</v>
      </c>
      <c r="F153" s="254">
        <f t="shared" si="38"/>
        <v>16455265</v>
      </c>
      <c r="G153" s="176">
        <f>18005265-50000-1000000-500000</f>
        <v>16455265</v>
      </c>
      <c r="H153" s="177">
        <v>0</v>
      </c>
      <c r="I153" s="177">
        <v>0</v>
      </c>
      <c r="J153" s="177">
        <v>0</v>
      </c>
      <c r="K153" s="175">
        <f t="shared" si="39"/>
        <v>0</v>
      </c>
      <c r="L153" s="118">
        <f t="shared" si="40"/>
        <v>0</v>
      </c>
      <c r="M153" s="177">
        <v>0</v>
      </c>
      <c r="N153" s="174">
        <v>0</v>
      </c>
      <c r="O153" s="174">
        <v>0</v>
      </c>
      <c r="P153" s="174">
        <v>0</v>
      </c>
      <c r="Q153" s="175">
        <f t="shared" si="36"/>
        <v>16455265</v>
      </c>
      <c r="R153" s="145"/>
      <c r="S153" s="145"/>
      <c r="T153" s="145"/>
      <c r="U153" s="145"/>
      <c r="V153" s="145"/>
      <c r="W153" s="145"/>
    </row>
    <row r="154" spans="1:23" ht="48">
      <c r="A154" s="102"/>
      <c r="B154" s="131" t="s">
        <v>457</v>
      </c>
      <c r="C154" s="139">
        <v>3082</v>
      </c>
      <c r="D154" s="139">
        <v>1010</v>
      </c>
      <c r="E154" s="128" t="s">
        <v>460</v>
      </c>
      <c r="F154" s="254">
        <f t="shared" si="38"/>
        <v>5414576</v>
      </c>
      <c r="G154" s="176">
        <v>5414576</v>
      </c>
      <c r="H154" s="177">
        <v>0</v>
      </c>
      <c r="I154" s="177">
        <v>0</v>
      </c>
      <c r="J154" s="177">
        <v>0</v>
      </c>
      <c r="K154" s="175">
        <f t="shared" si="39"/>
        <v>0</v>
      </c>
      <c r="L154" s="118">
        <f t="shared" si="40"/>
        <v>0</v>
      </c>
      <c r="M154" s="177">
        <v>0</v>
      </c>
      <c r="N154" s="174">
        <v>0</v>
      </c>
      <c r="O154" s="174">
        <v>0</v>
      </c>
      <c r="P154" s="174">
        <v>0</v>
      </c>
      <c r="Q154" s="175">
        <f t="shared" si="36"/>
        <v>5414576</v>
      </c>
      <c r="R154" s="145"/>
      <c r="S154" s="145"/>
      <c r="T154" s="145"/>
      <c r="U154" s="145"/>
      <c r="V154" s="145"/>
      <c r="W154" s="145"/>
    </row>
    <row r="155" spans="1:23" ht="36">
      <c r="A155" s="102"/>
      <c r="B155" s="131" t="s">
        <v>458</v>
      </c>
      <c r="C155" s="139">
        <v>3083</v>
      </c>
      <c r="D155" s="139">
        <v>1010</v>
      </c>
      <c r="E155" s="128" t="s">
        <v>461</v>
      </c>
      <c r="F155" s="254">
        <f t="shared" si="38"/>
        <v>2739000</v>
      </c>
      <c r="G155" s="176">
        <v>2739000</v>
      </c>
      <c r="H155" s="177">
        <v>0</v>
      </c>
      <c r="I155" s="177">
        <v>0</v>
      </c>
      <c r="J155" s="177">
        <v>0</v>
      </c>
      <c r="K155" s="175">
        <f t="shared" si="39"/>
        <v>0</v>
      </c>
      <c r="L155" s="118">
        <f t="shared" si="40"/>
        <v>0</v>
      </c>
      <c r="M155" s="177">
        <v>0</v>
      </c>
      <c r="N155" s="174">
        <v>0</v>
      </c>
      <c r="O155" s="174">
        <v>0</v>
      </c>
      <c r="P155" s="174">
        <v>0</v>
      </c>
      <c r="Q155" s="175">
        <f t="shared" si="36"/>
        <v>2739000</v>
      </c>
      <c r="R155" s="145"/>
      <c r="S155" s="145"/>
      <c r="T155" s="145"/>
      <c r="U155" s="145"/>
      <c r="V155" s="145"/>
      <c r="W155" s="145"/>
    </row>
    <row r="156" spans="1:23" ht="48">
      <c r="A156" s="102"/>
      <c r="B156" s="131" t="s">
        <v>576</v>
      </c>
      <c r="C156" s="139">
        <v>3084</v>
      </c>
      <c r="D156" s="139">
        <v>1040</v>
      </c>
      <c r="E156" s="128" t="s">
        <v>577</v>
      </c>
      <c r="F156" s="254">
        <f t="shared" si="38"/>
        <v>574620</v>
      </c>
      <c r="G156" s="176">
        <v>574620</v>
      </c>
      <c r="H156" s="177">
        <v>0</v>
      </c>
      <c r="I156" s="177">
        <v>0</v>
      </c>
      <c r="J156" s="177">
        <v>0</v>
      </c>
      <c r="K156" s="175">
        <f t="shared" si="39"/>
        <v>0</v>
      </c>
      <c r="L156" s="118">
        <f t="shared" si="40"/>
        <v>0</v>
      </c>
      <c r="M156" s="177">
        <v>0</v>
      </c>
      <c r="N156" s="174">
        <v>0</v>
      </c>
      <c r="O156" s="174">
        <v>0</v>
      </c>
      <c r="P156" s="174">
        <v>0</v>
      </c>
      <c r="Q156" s="175">
        <f t="shared" si="36"/>
        <v>574620</v>
      </c>
      <c r="R156" s="145"/>
      <c r="S156" s="145"/>
      <c r="T156" s="145"/>
      <c r="U156" s="145"/>
      <c r="V156" s="145"/>
      <c r="W156" s="145"/>
    </row>
    <row r="157" spans="1:23" ht="48">
      <c r="A157" s="102"/>
      <c r="B157" s="131" t="s">
        <v>459</v>
      </c>
      <c r="C157" s="139">
        <v>3085</v>
      </c>
      <c r="D157" s="139">
        <v>1010</v>
      </c>
      <c r="E157" s="128" t="s">
        <v>462</v>
      </c>
      <c r="F157" s="254">
        <f t="shared" si="38"/>
        <v>115012</v>
      </c>
      <c r="G157" s="176">
        <v>115012</v>
      </c>
      <c r="H157" s="177">
        <v>0</v>
      </c>
      <c r="I157" s="177">
        <v>0</v>
      </c>
      <c r="J157" s="177">
        <v>0</v>
      </c>
      <c r="K157" s="175">
        <f t="shared" si="39"/>
        <v>0</v>
      </c>
      <c r="L157" s="118">
        <f t="shared" si="40"/>
        <v>0</v>
      </c>
      <c r="M157" s="177">
        <v>0</v>
      </c>
      <c r="N157" s="174">
        <v>0</v>
      </c>
      <c r="O157" s="174">
        <v>0</v>
      </c>
      <c r="P157" s="174">
        <v>0</v>
      </c>
      <c r="Q157" s="175">
        <f t="shared" si="36"/>
        <v>115012</v>
      </c>
      <c r="R157" s="145"/>
      <c r="S157" s="145"/>
      <c r="T157" s="145"/>
      <c r="U157" s="145"/>
      <c r="V157" s="145"/>
      <c r="W157" s="145"/>
    </row>
    <row r="158" spans="1:23" ht="144">
      <c r="A158" s="102"/>
      <c r="B158" s="131" t="s">
        <v>625</v>
      </c>
      <c r="C158" s="139">
        <v>3086</v>
      </c>
      <c r="D158" s="139">
        <v>1040</v>
      </c>
      <c r="E158" s="128" t="s">
        <v>613</v>
      </c>
      <c r="F158" s="254">
        <f t="shared" si="38"/>
        <v>36000</v>
      </c>
      <c r="G158" s="176">
        <v>36000</v>
      </c>
      <c r="H158" s="177">
        <v>0</v>
      </c>
      <c r="I158" s="177">
        <v>0</v>
      </c>
      <c r="J158" s="177">
        <v>0</v>
      </c>
      <c r="K158" s="175">
        <f t="shared" si="39"/>
        <v>0</v>
      </c>
      <c r="L158" s="118">
        <v>0</v>
      </c>
      <c r="M158" s="177">
        <v>0</v>
      </c>
      <c r="N158" s="174">
        <v>0</v>
      </c>
      <c r="O158" s="174">
        <v>0</v>
      </c>
      <c r="P158" s="174">
        <v>0</v>
      </c>
      <c r="Q158" s="175">
        <f>F158+K158</f>
        <v>36000</v>
      </c>
      <c r="R158" s="145"/>
      <c r="S158" s="145"/>
      <c r="T158" s="145"/>
      <c r="U158" s="145"/>
      <c r="V158" s="145"/>
      <c r="W158" s="145"/>
    </row>
    <row r="159" spans="1:23" ht="24">
      <c r="A159" s="102"/>
      <c r="B159" s="131" t="s">
        <v>626</v>
      </c>
      <c r="C159" s="139">
        <v>3087</v>
      </c>
      <c r="D159" s="139">
        <v>1040</v>
      </c>
      <c r="E159" s="128" t="s">
        <v>627</v>
      </c>
      <c r="F159" s="254">
        <f t="shared" si="38"/>
        <v>7600000</v>
      </c>
      <c r="G159" s="176">
        <f>300000+700000+3500000+3100000</f>
        <v>7600000</v>
      </c>
      <c r="H159" s="177">
        <v>0</v>
      </c>
      <c r="I159" s="177">
        <v>0</v>
      </c>
      <c r="J159" s="177">
        <v>0</v>
      </c>
      <c r="K159" s="175">
        <f t="shared" si="39"/>
        <v>0</v>
      </c>
      <c r="L159" s="118">
        <v>0</v>
      </c>
      <c r="M159" s="177">
        <v>0</v>
      </c>
      <c r="N159" s="174">
        <v>0</v>
      </c>
      <c r="O159" s="174">
        <v>0</v>
      </c>
      <c r="P159" s="174">
        <v>0</v>
      </c>
      <c r="Q159" s="175">
        <f>F159+K159</f>
        <v>7600000</v>
      </c>
      <c r="R159" s="145"/>
      <c r="S159" s="145"/>
      <c r="T159" s="145"/>
      <c r="U159" s="145"/>
      <c r="V159" s="145"/>
      <c r="W159" s="145"/>
    </row>
    <row r="160" spans="1:23" ht="25.5" customHeight="1">
      <c r="A160" s="100" t="s">
        <v>190</v>
      </c>
      <c r="B160" s="131" t="s">
        <v>377</v>
      </c>
      <c r="C160" s="135">
        <v>3090</v>
      </c>
      <c r="D160" s="135">
        <v>1030</v>
      </c>
      <c r="E160" s="117" t="s">
        <v>432</v>
      </c>
      <c r="F160" s="254">
        <f t="shared" si="38"/>
        <v>21218</v>
      </c>
      <c r="G160" s="176">
        <f>22560-1342</f>
        <v>21218</v>
      </c>
      <c r="H160" s="177">
        <v>0</v>
      </c>
      <c r="I160" s="177">
        <v>0</v>
      </c>
      <c r="J160" s="177">
        <v>0</v>
      </c>
      <c r="K160" s="175">
        <f t="shared" si="39"/>
        <v>0</v>
      </c>
      <c r="L160" s="118">
        <f t="shared" si="40"/>
        <v>0</v>
      </c>
      <c r="M160" s="177">
        <v>0</v>
      </c>
      <c r="N160" s="174">
        <v>0</v>
      </c>
      <c r="O160" s="174">
        <v>0</v>
      </c>
      <c r="P160" s="174">
        <v>0</v>
      </c>
      <c r="Q160" s="175">
        <f t="shared" si="36"/>
        <v>21218</v>
      </c>
      <c r="R160" s="145"/>
      <c r="S160" s="145"/>
      <c r="T160" s="145"/>
      <c r="U160" s="145"/>
      <c r="V160" s="145"/>
      <c r="W160" s="145"/>
    </row>
    <row r="161" spans="1:23" s="76" customFormat="1" ht="48">
      <c r="A161" s="101" t="s">
        <v>191</v>
      </c>
      <c r="B161" s="131" t="s">
        <v>378</v>
      </c>
      <c r="C161" s="139">
        <v>3104</v>
      </c>
      <c r="D161" s="139">
        <v>1020</v>
      </c>
      <c r="E161" s="117" t="s">
        <v>282</v>
      </c>
      <c r="F161" s="257">
        <f t="shared" si="38"/>
        <v>5836100</v>
      </c>
      <c r="G161" s="148">
        <f>5894800-218700+150000+10000</f>
        <v>5836100</v>
      </c>
      <c r="H161" s="148">
        <f>4814200-181200+124300</f>
        <v>4757300</v>
      </c>
      <c r="I161" s="148">
        <v>85500</v>
      </c>
      <c r="J161" s="148">
        <v>0</v>
      </c>
      <c r="K161" s="161">
        <f t="shared" si="39"/>
        <v>120800</v>
      </c>
      <c r="L161" s="118">
        <f t="shared" si="40"/>
        <v>30800</v>
      </c>
      <c r="M161" s="148">
        <v>90000</v>
      </c>
      <c r="N161" s="148">
        <v>0</v>
      </c>
      <c r="O161" s="148">
        <v>12000</v>
      </c>
      <c r="P161" s="148">
        <v>30800</v>
      </c>
      <c r="Q161" s="161">
        <f t="shared" si="36"/>
        <v>5956900</v>
      </c>
      <c r="R161" s="159"/>
      <c r="S161" s="159"/>
      <c r="T161" s="159"/>
      <c r="U161" s="159"/>
      <c r="V161" s="159"/>
      <c r="W161" s="159"/>
    </row>
    <row r="162" spans="1:23" s="76" customFormat="1" ht="24">
      <c r="A162" s="101"/>
      <c r="B162" s="124" t="s">
        <v>592</v>
      </c>
      <c r="C162" s="124" t="s">
        <v>308</v>
      </c>
      <c r="D162" s="108" t="s">
        <v>234</v>
      </c>
      <c r="E162" s="130" t="s">
        <v>268</v>
      </c>
      <c r="F162" s="257">
        <f>G162</f>
        <v>33000</v>
      </c>
      <c r="G162" s="148">
        <f>10000+5000+10000+8000</f>
        <v>33000</v>
      </c>
      <c r="H162" s="148">
        <v>0</v>
      </c>
      <c r="I162" s="148">
        <v>0</v>
      </c>
      <c r="J162" s="148">
        <v>0</v>
      </c>
      <c r="K162" s="161">
        <f t="shared" si="39"/>
        <v>0</v>
      </c>
      <c r="L162" s="118">
        <f t="shared" si="40"/>
        <v>0</v>
      </c>
      <c r="M162" s="148">
        <v>0</v>
      </c>
      <c r="N162" s="148">
        <v>0</v>
      </c>
      <c r="O162" s="148">
        <v>0</v>
      </c>
      <c r="P162" s="148">
        <v>0</v>
      </c>
      <c r="Q162" s="161">
        <f t="shared" si="36"/>
        <v>33000</v>
      </c>
      <c r="R162" s="159"/>
      <c r="S162" s="159"/>
      <c r="T162" s="159"/>
      <c r="U162" s="159"/>
      <c r="V162" s="159"/>
      <c r="W162" s="159"/>
    </row>
    <row r="163" spans="1:23" s="76" customFormat="1" ht="60">
      <c r="A163" s="101"/>
      <c r="B163" s="131" t="s">
        <v>608</v>
      </c>
      <c r="C163" s="139">
        <v>3140</v>
      </c>
      <c r="D163" s="139">
        <v>1040</v>
      </c>
      <c r="E163" s="117" t="s">
        <v>609</v>
      </c>
      <c r="F163" s="257">
        <f>G163</f>
        <v>108000</v>
      </c>
      <c r="G163" s="148">
        <v>108000</v>
      </c>
      <c r="H163" s="148"/>
      <c r="I163" s="148"/>
      <c r="J163" s="148"/>
      <c r="K163" s="161">
        <f t="shared" si="39"/>
        <v>0</v>
      </c>
      <c r="L163" s="118">
        <f t="shared" si="40"/>
        <v>0</v>
      </c>
      <c r="M163" s="148"/>
      <c r="N163" s="148"/>
      <c r="O163" s="148"/>
      <c r="P163" s="148"/>
      <c r="Q163" s="161">
        <f t="shared" si="36"/>
        <v>108000</v>
      </c>
      <c r="R163" s="159"/>
      <c r="S163" s="159"/>
      <c r="T163" s="159"/>
      <c r="U163" s="159"/>
      <c r="V163" s="159"/>
      <c r="W163" s="159"/>
    </row>
    <row r="164" spans="1:23" s="76" customFormat="1" ht="25.5" customHeight="1">
      <c r="A164" s="101" t="s">
        <v>192</v>
      </c>
      <c r="B164" s="131" t="s">
        <v>379</v>
      </c>
      <c r="C164" s="139">
        <v>3121</v>
      </c>
      <c r="D164" s="139">
        <v>1040</v>
      </c>
      <c r="E164" s="128" t="s">
        <v>380</v>
      </c>
      <c r="F164" s="257">
        <f t="shared" si="38"/>
        <v>423200</v>
      </c>
      <c r="G164" s="148">
        <f>353200+40000+30000</f>
        <v>423200</v>
      </c>
      <c r="H164" s="148">
        <f>273000+32800+20500</f>
        <v>326300</v>
      </c>
      <c r="I164" s="148">
        <v>7100</v>
      </c>
      <c r="J164" s="148">
        <v>0</v>
      </c>
      <c r="K164" s="161">
        <f t="shared" si="39"/>
        <v>0</v>
      </c>
      <c r="L164" s="118">
        <f t="shared" si="40"/>
        <v>0</v>
      </c>
      <c r="M164" s="148">
        <v>0</v>
      </c>
      <c r="N164" s="148">
        <v>0</v>
      </c>
      <c r="O164" s="148">
        <v>0</v>
      </c>
      <c r="P164" s="148">
        <v>0</v>
      </c>
      <c r="Q164" s="161">
        <f t="shared" si="36"/>
        <v>423200</v>
      </c>
      <c r="R164" s="159"/>
      <c r="S164" s="159"/>
      <c r="T164" s="159"/>
      <c r="U164" s="159"/>
      <c r="V164" s="159"/>
      <c r="W164" s="159"/>
    </row>
    <row r="165" spans="1:23" s="76" customFormat="1" ht="12.75">
      <c r="A165" s="101" t="s">
        <v>193</v>
      </c>
      <c r="B165" s="131" t="s">
        <v>381</v>
      </c>
      <c r="C165" s="139">
        <v>3123</v>
      </c>
      <c r="D165" s="139">
        <v>1040</v>
      </c>
      <c r="E165" s="128" t="s">
        <v>283</v>
      </c>
      <c r="F165" s="257">
        <f t="shared" si="38"/>
        <v>24000</v>
      </c>
      <c r="G165" s="148">
        <f>10000+14000</f>
        <v>24000</v>
      </c>
      <c r="H165" s="148">
        <v>0</v>
      </c>
      <c r="I165" s="148">
        <v>0</v>
      </c>
      <c r="J165" s="148"/>
      <c r="K165" s="161">
        <f t="shared" si="39"/>
        <v>0</v>
      </c>
      <c r="L165" s="157">
        <f t="shared" si="40"/>
        <v>0</v>
      </c>
      <c r="M165" s="148">
        <v>0</v>
      </c>
      <c r="N165" s="148">
        <v>0</v>
      </c>
      <c r="O165" s="148">
        <v>0</v>
      </c>
      <c r="P165" s="148">
        <v>0</v>
      </c>
      <c r="Q165" s="161">
        <f t="shared" si="36"/>
        <v>24000</v>
      </c>
      <c r="R165" s="159"/>
      <c r="S165" s="159"/>
      <c r="T165" s="159"/>
      <c r="U165" s="159"/>
      <c r="V165" s="159"/>
      <c r="W165" s="159"/>
    </row>
    <row r="166" spans="1:23" ht="81.75" customHeight="1">
      <c r="A166" s="100"/>
      <c r="B166" s="131" t="s">
        <v>413</v>
      </c>
      <c r="C166" s="131" t="s">
        <v>434</v>
      </c>
      <c r="D166" s="140" t="s">
        <v>435</v>
      </c>
      <c r="E166" s="258" t="s">
        <v>463</v>
      </c>
      <c r="F166" s="184">
        <f t="shared" si="38"/>
        <v>486229</v>
      </c>
      <c r="G166" s="164">
        <f>405900+20511+6265+40000+13553</f>
        <v>486229</v>
      </c>
      <c r="H166" s="164">
        <v>0</v>
      </c>
      <c r="I166" s="164">
        <v>0</v>
      </c>
      <c r="J166" s="185">
        <v>0</v>
      </c>
      <c r="K166" s="163">
        <f t="shared" si="39"/>
        <v>0</v>
      </c>
      <c r="L166" s="118">
        <f t="shared" si="40"/>
        <v>0</v>
      </c>
      <c r="M166" s="164">
        <v>0</v>
      </c>
      <c r="N166" s="164">
        <v>0</v>
      </c>
      <c r="O166" s="164">
        <v>0</v>
      </c>
      <c r="P166" s="164">
        <v>0</v>
      </c>
      <c r="Q166" s="163">
        <f t="shared" si="36"/>
        <v>486229</v>
      </c>
      <c r="R166" s="145"/>
      <c r="S166" s="145"/>
      <c r="T166" s="145"/>
      <c r="U166" s="145"/>
      <c r="V166" s="145"/>
      <c r="W166" s="145"/>
    </row>
    <row r="167" spans="1:23" ht="55.5" customHeight="1">
      <c r="A167" s="100" t="s">
        <v>194</v>
      </c>
      <c r="B167" s="132" t="s">
        <v>437</v>
      </c>
      <c r="C167" s="135">
        <v>3171</v>
      </c>
      <c r="D167" s="135">
        <v>1010</v>
      </c>
      <c r="E167" s="117" t="s">
        <v>436</v>
      </c>
      <c r="F167" s="184">
        <f t="shared" si="38"/>
        <v>14967</v>
      </c>
      <c r="G167" s="147">
        <v>14967</v>
      </c>
      <c r="H167" s="82">
        <v>0</v>
      </c>
      <c r="I167" s="82">
        <v>0</v>
      </c>
      <c r="J167" s="82">
        <v>0</v>
      </c>
      <c r="K167" s="163">
        <f t="shared" si="39"/>
        <v>0</v>
      </c>
      <c r="L167" s="118">
        <f t="shared" si="40"/>
        <v>0</v>
      </c>
      <c r="M167" s="82">
        <v>0</v>
      </c>
      <c r="N167" s="82">
        <v>0</v>
      </c>
      <c r="O167" s="82">
        <v>0</v>
      </c>
      <c r="P167" s="82">
        <v>0</v>
      </c>
      <c r="Q167" s="163">
        <f t="shared" si="36"/>
        <v>14967</v>
      </c>
      <c r="R167" s="145"/>
      <c r="S167" s="145"/>
      <c r="T167" s="145"/>
      <c r="U167" s="145"/>
      <c r="V167" s="145"/>
      <c r="W167" s="145"/>
    </row>
    <row r="168" spans="1:23" ht="36" hidden="1">
      <c r="A168" s="100" t="s">
        <v>195</v>
      </c>
      <c r="B168" s="84"/>
      <c r="C168" s="88"/>
      <c r="D168" s="88"/>
      <c r="E168" s="117" t="s">
        <v>23</v>
      </c>
      <c r="F168" s="184">
        <f t="shared" si="38"/>
        <v>0</v>
      </c>
      <c r="G168" s="164"/>
      <c r="H168" s="165">
        <v>0</v>
      </c>
      <c r="I168" s="165">
        <v>0</v>
      </c>
      <c r="J168" s="165">
        <v>0</v>
      </c>
      <c r="K168" s="163">
        <f t="shared" si="39"/>
        <v>0</v>
      </c>
      <c r="L168" s="118">
        <f t="shared" si="40"/>
        <v>0</v>
      </c>
      <c r="M168" s="165">
        <v>0</v>
      </c>
      <c r="N168" s="165">
        <v>0</v>
      </c>
      <c r="O168" s="165">
        <v>0</v>
      </c>
      <c r="P168" s="165">
        <v>0</v>
      </c>
      <c r="Q168" s="163">
        <f t="shared" si="36"/>
        <v>0</v>
      </c>
      <c r="R168" s="145"/>
      <c r="S168" s="145"/>
      <c r="T168" s="145"/>
      <c r="U168" s="145"/>
      <c r="V168" s="145"/>
      <c r="W168" s="145"/>
    </row>
    <row r="169" spans="1:23" ht="24" hidden="1">
      <c r="A169" s="100" t="s">
        <v>196</v>
      </c>
      <c r="B169" s="85" t="s">
        <v>438</v>
      </c>
      <c r="C169" s="88">
        <v>3172</v>
      </c>
      <c r="D169" s="88">
        <v>1010</v>
      </c>
      <c r="E169" s="117" t="s">
        <v>439</v>
      </c>
      <c r="F169" s="184">
        <f>G169+J169</f>
        <v>0</v>
      </c>
      <c r="G169" s="147"/>
      <c r="H169" s="82">
        <v>0</v>
      </c>
      <c r="I169" s="82">
        <v>0</v>
      </c>
      <c r="J169" s="82">
        <v>0</v>
      </c>
      <c r="K169" s="163">
        <f t="shared" si="39"/>
        <v>0</v>
      </c>
      <c r="L169" s="118">
        <f t="shared" si="40"/>
        <v>0</v>
      </c>
      <c r="M169" s="82">
        <v>0</v>
      </c>
      <c r="N169" s="82">
        <v>0</v>
      </c>
      <c r="O169" s="82">
        <v>0</v>
      </c>
      <c r="P169" s="82">
        <v>0</v>
      </c>
      <c r="Q169" s="163">
        <f t="shared" si="36"/>
        <v>0</v>
      </c>
      <c r="R169" s="145"/>
      <c r="S169" s="145"/>
      <c r="T169" s="145"/>
      <c r="U169" s="145"/>
      <c r="V169" s="145"/>
      <c r="W169" s="145"/>
    </row>
    <row r="170" spans="1:23" s="76" customFormat="1" ht="48">
      <c r="A170" s="101" t="s">
        <v>197</v>
      </c>
      <c r="B170" s="131" t="s">
        <v>440</v>
      </c>
      <c r="C170" s="139">
        <v>3192</v>
      </c>
      <c r="D170" s="139">
        <v>1030</v>
      </c>
      <c r="E170" s="128" t="s">
        <v>441</v>
      </c>
      <c r="F170" s="257">
        <f t="shared" si="38"/>
        <v>81960</v>
      </c>
      <c r="G170" s="148">
        <f>48000+7000+1960+15000+5000+5000</f>
        <v>81960</v>
      </c>
      <c r="H170" s="148">
        <v>0</v>
      </c>
      <c r="I170" s="148">
        <v>0</v>
      </c>
      <c r="J170" s="148">
        <v>0</v>
      </c>
      <c r="K170" s="161">
        <f t="shared" si="39"/>
        <v>0</v>
      </c>
      <c r="L170" s="118">
        <f t="shared" si="40"/>
        <v>0</v>
      </c>
      <c r="M170" s="148">
        <v>0</v>
      </c>
      <c r="N170" s="148">
        <v>0</v>
      </c>
      <c r="O170" s="148">
        <v>0</v>
      </c>
      <c r="P170" s="148">
        <v>0</v>
      </c>
      <c r="Q170" s="161">
        <f t="shared" si="36"/>
        <v>81960</v>
      </c>
      <c r="R170" s="159"/>
      <c r="S170" s="159"/>
      <c r="T170" s="159"/>
      <c r="U170" s="159"/>
      <c r="V170" s="159"/>
      <c r="W170" s="159"/>
    </row>
    <row r="171" spans="1:23" s="76" customFormat="1" ht="24">
      <c r="A171" s="101" t="s">
        <v>198</v>
      </c>
      <c r="B171" s="124" t="s">
        <v>442</v>
      </c>
      <c r="C171" s="124" t="s">
        <v>443</v>
      </c>
      <c r="D171" s="124" t="s">
        <v>382</v>
      </c>
      <c r="E171" s="348" t="s">
        <v>322</v>
      </c>
      <c r="F171" s="257">
        <f t="shared" si="38"/>
        <v>23000</v>
      </c>
      <c r="G171" s="148">
        <v>23000</v>
      </c>
      <c r="H171" s="148">
        <v>18900</v>
      </c>
      <c r="I171" s="148">
        <v>0</v>
      </c>
      <c r="J171" s="148">
        <v>0</v>
      </c>
      <c r="K171" s="161">
        <f t="shared" si="39"/>
        <v>0</v>
      </c>
      <c r="L171" s="157">
        <f t="shared" si="40"/>
        <v>0</v>
      </c>
      <c r="M171" s="148">
        <v>0</v>
      </c>
      <c r="N171" s="148">
        <v>0</v>
      </c>
      <c r="O171" s="148">
        <v>0</v>
      </c>
      <c r="P171" s="148">
        <v>0</v>
      </c>
      <c r="Q171" s="161">
        <f t="shared" si="36"/>
        <v>23000</v>
      </c>
      <c r="R171" s="159"/>
      <c r="S171" s="159"/>
      <c r="T171" s="159"/>
      <c r="U171" s="159"/>
      <c r="V171" s="159"/>
      <c r="W171" s="159"/>
    </row>
    <row r="172" spans="1:23" ht="12.75" hidden="1">
      <c r="A172" s="100"/>
      <c r="B172" s="360"/>
      <c r="C172" s="361"/>
      <c r="D172" s="362"/>
      <c r="E172" s="119"/>
      <c r="F172" s="184"/>
      <c r="G172" s="184"/>
      <c r="H172" s="184"/>
      <c r="I172" s="184"/>
      <c r="J172" s="184"/>
      <c r="K172" s="184"/>
      <c r="L172" s="118">
        <f t="shared" si="40"/>
        <v>0</v>
      </c>
      <c r="M172" s="184"/>
      <c r="N172" s="184"/>
      <c r="O172" s="184"/>
      <c r="P172" s="184"/>
      <c r="Q172" s="184">
        <f>Q173</f>
        <v>996180</v>
      </c>
      <c r="R172" s="145"/>
      <c r="S172" s="145"/>
      <c r="T172" s="145"/>
      <c r="U172" s="145"/>
      <c r="V172" s="145"/>
      <c r="W172" s="145"/>
    </row>
    <row r="173" spans="1:23" ht="156" customHeight="1">
      <c r="A173" s="100" t="s">
        <v>232</v>
      </c>
      <c r="B173" s="124" t="s">
        <v>450</v>
      </c>
      <c r="C173" s="132" t="s">
        <v>451</v>
      </c>
      <c r="D173" s="132" t="s">
        <v>234</v>
      </c>
      <c r="E173" s="117" t="s">
        <v>607</v>
      </c>
      <c r="F173" s="184">
        <f t="shared" si="38"/>
        <v>996180</v>
      </c>
      <c r="G173" s="164">
        <f>1055300-59120</f>
        <v>996180</v>
      </c>
      <c r="H173" s="165">
        <v>0</v>
      </c>
      <c r="I173" s="165">
        <v>0</v>
      </c>
      <c r="J173" s="165">
        <v>0</v>
      </c>
      <c r="K173" s="163">
        <f>M173+P173</f>
        <v>0</v>
      </c>
      <c r="L173" s="118">
        <f t="shared" si="40"/>
        <v>0</v>
      </c>
      <c r="M173" s="165"/>
      <c r="N173" s="165">
        <v>0</v>
      </c>
      <c r="O173" s="165">
        <v>0</v>
      </c>
      <c r="P173" s="165">
        <v>0</v>
      </c>
      <c r="Q173" s="163">
        <f>F173+K173</f>
        <v>996180</v>
      </c>
      <c r="R173" s="145"/>
      <c r="S173" s="145"/>
      <c r="T173" s="145"/>
      <c r="U173" s="145"/>
      <c r="V173" s="145"/>
      <c r="W173" s="145"/>
    </row>
    <row r="174" spans="1:23" ht="36" hidden="1">
      <c r="A174" s="100"/>
      <c r="B174" s="98" t="s">
        <v>444</v>
      </c>
      <c r="C174" s="88">
        <v>3241</v>
      </c>
      <c r="D174" s="88">
        <v>1090</v>
      </c>
      <c r="E174" s="117" t="s">
        <v>445</v>
      </c>
      <c r="F174" s="184">
        <f>G174+J174</f>
        <v>0</v>
      </c>
      <c r="G174" s="146"/>
      <c r="H174" s="187"/>
      <c r="I174" s="187"/>
      <c r="J174" s="187"/>
      <c r="K174" s="188">
        <f>M174+P174</f>
        <v>0</v>
      </c>
      <c r="L174" s="118">
        <f t="shared" si="40"/>
        <v>0</v>
      </c>
      <c r="M174" s="187"/>
      <c r="N174" s="187"/>
      <c r="O174" s="187"/>
      <c r="P174" s="187"/>
      <c r="Q174" s="188">
        <f>F174+K174</f>
        <v>0</v>
      </c>
      <c r="R174" s="145"/>
      <c r="S174" s="145"/>
      <c r="T174" s="145"/>
      <c r="U174" s="145"/>
      <c r="V174" s="145"/>
      <c r="W174" s="145"/>
    </row>
    <row r="175" spans="1:23" s="76" customFormat="1" ht="24">
      <c r="A175" s="101"/>
      <c r="B175" s="131" t="s">
        <v>446</v>
      </c>
      <c r="C175" s="139">
        <v>3242</v>
      </c>
      <c r="D175" s="139">
        <v>1090</v>
      </c>
      <c r="E175" s="128" t="s">
        <v>447</v>
      </c>
      <c r="F175" s="257">
        <f>G175+J175</f>
        <v>357800</v>
      </c>
      <c r="G175" s="156">
        <f>144400+200000+100000-24800+5000-10000-18300+10000+15000+50000-113500</f>
        <v>357800</v>
      </c>
      <c r="H175" s="156">
        <v>0</v>
      </c>
      <c r="I175" s="156">
        <v>0</v>
      </c>
      <c r="J175" s="156">
        <v>0</v>
      </c>
      <c r="K175" s="160">
        <f>M175+P175</f>
        <v>24000</v>
      </c>
      <c r="L175" s="157">
        <f t="shared" si="40"/>
        <v>24000</v>
      </c>
      <c r="M175" s="156">
        <v>0</v>
      </c>
      <c r="N175" s="156">
        <v>0</v>
      </c>
      <c r="O175" s="156">
        <v>0</v>
      </c>
      <c r="P175" s="156">
        <f>18300+5700</f>
        <v>24000</v>
      </c>
      <c r="Q175" s="160">
        <f>F175+K175</f>
        <v>381800</v>
      </c>
      <c r="R175" s="159"/>
      <c r="S175" s="159"/>
      <c r="T175" s="159"/>
      <c r="U175" s="159"/>
      <c r="V175" s="159"/>
      <c r="W175" s="159"/>
    </row>
    <row r="176" spans="1:23" ht="14.25" hidden="1">
      <c r="A176" s="100"/>
      <c r="B176" s="350">
        <v>1018400</v>
      </c>
      <c r="C176" s="350"/>
      <c r="D176" s="350"/>
      <c r="E176" s="119" t="s">
        <v>414</v>
      </c>
      <c r="F176" s="154">
        <f>F177</f>
        <v>0</v>
      </c>
      <c r="G176" s="155">
        <f aca="true" t="shared" si="41" ref="G176:Q176">G177</f>
        <v>0</v>
      </c>
      <c r="H176" s="155">
        <f t="shared" si="41"/>
        <v>0</v>
      </c>
      <c r="I176" s="155">
        <f t="shared" si="41"/>
        <v>0</v>
      </c>
      <c r="J176" s="155">
        <f t="shared" si="41"/>
        <v>0</v>
      </c>
      <c r="K176" s="155">
        <f t="shared" si="41"/>
        <v>1767620</v>
      </c>
      <c r="L176" s="118">
        <f t="shared" si="40"/>
        <v>1767620</v>
      </c>
      <c r="M176" s="155">
        <f t="shared" si="41"/>
        <v>0</v>
      </c>
      <c r="N176" s="155">
        <f>N177</f>
        <v>0</v>
      </c>
      <c r="O176" s="155">
        <f t="shared" si="41"/>
        <v>0</v>
      </c>
      <c r="P176" s="155">
        <f t="shared" si="41"/>
        <v>1767620</v>
      </c>
      <c r="Q176" s="155">
        <f t="shared" si="41"/>
        <v>1767620</v>
      </c>
      <c r="R176" s="145"/>
      <c r="S176" s="145"/>
      <c r="T176" s="145"/>
      <c r="U176" s="145"/>
      <c r="V176" s="145"/>
      <c r="W176" s="145"/>
    </row>
    <row r="177" spans="1:23" s="76" customFormat="1" ht="84">
      <c r="A177" s="101" t="s">
        <v>199</v>
      </c>
      <c r="B177" s="131" t="s">
        <v>638</v>
      </c>
      <c r="C177" s="131" t="s">
        <v>639</v>
      </c>
      <c r="D177" s="131" t="s">
        <v>640</v>
      </c>
      <c r="E177" s="128" t="s">
        <v>641</v>
      </c>
      <c r="F177" s="156">
        <f>G177+J177</f>
        <v>0</v>
      </c>
      <c r="G177" s="148">
        <f>180000-180000</f>
        <v>0</v>
      </c>
      <c r="H177" s="148">
        <v>0</v>
      </c>
      <c r="I177" s="148">
        <v>0</v>
      </c>
      <c r="J177" s="148">
        <v>0</v>
      </c>
      <c r="K177" s="161">
        <f>M177+P177</f>
        <v>1767620</v>
      </c>
      <c r="L177" s="118">
        <f t="shared" si="40"/>
        <v>1767620</v>
      </c>
      <c r="M177" s="148">
        <v>0</v>
      </c>
      <c r="N177" s="148">
        <v>0</v>
      </c>
      <c r="O177" s="148">
        <v>0</v>
      </c>
      <c r="P177" s="148">
        <v>1767620</v>
      </c>
      <c r="Q177" s="161">
        <f>F177+K177</f>
        <v>1767620</v>
      </c>
      <c r="R177" s="159"/>
      <c r="S177" s="159"/>
      <c r="T177" s="159"/>
      <c r="U177" s="159"/>
      <c r="V177" s="159"/>
      <c r="W177" s="159"/>
    </row>
    <row r="178" spans="1:23" s="80" customFormat="1" ht="22.5" hidden="1">
      <c r="A178" s="103" t="s">
        <v>200</v>
      </c>
      <c r="B178" s="111">
        <v>2418050</v>
      </c>
      <c r="C178" s="112" t="s">
        <v>304</v>
      </c>
      <c r="D178" s="112" t="s">
        <v>236</v>
      </c>
      <c r="E178" s="81" t="s">
        <v>102</v>
      </c>
      <c r="F178" s="149"/>
      <c r="G178" s="150"/>
      <c r="H178" s="150"/>
      <c r="I178" s="150"/>
      <c r="J178" s="150"/>
      <c r="K178" s="189">
        <f>M178+P178</f>
        <v>0</v>
      </c>
      <c r="L178" s="118">
        <f t="shared" si="40"/>
        <v>0</v>
      </c>
      <c r="M178" s="150">
        <v>0</v>
      </c>
      <c r="N178" s="150">
        <v>0</v>
      </c>
      <c r="O178" s="150">
        <v>0</v>
      </c>
      <c r="P178" s="190"/>
      <c r="Q178" s="189">
        <f>F178+K178</f>
        <v>0</v>
      </c>
      <c r="R178" s="153"/>
      <c r="S178" s="153"/>
      <c r="T178" s="153"/>
      <c r="U178" s="153"/>
      <c r="V178" s="153"/>
      <c r="W178" s="153"/>
    </row>
    <row r="179" spans="1:23" s="80" customFormat="1" ht="22.5" hidden="1">
      <c r="A179" s="103" t="s">
        <v>201</v>
      </c>
      <c r="B179" s="106" t="s">
        <v>201</v>
      </c>
      <c r="C179" s="106" t="s">
        <v>307</v>
      </c>
      <c r="D179" s="106" t="s">
        <v>230</v>
      </c>
      <c r="E179" s="79" t="s">
        <v>262</v>
      </c>
      <c r="F179" s="149">
        <v>0</v>
      </c>
      <c r="G179" s="150">
        <v>0</v>
      </c>
      <c r="H179" s="150">
        <v>0</v>
      </c>
      <c r="I179" s="150">
        <v>0</v>
      </c>
      <c r="J179" s="150">
        <v>0</v>
      </c>
      <c r="K179" s="189">
        <f>M179+P179</f>
        <v>0</v>
      </c>
      <c r="L179" s="118">
        <f t="shared" si="40"/>
        <v>0</v>
      </c>
      <c r="M179" s="150">
        <v>0</v>
      </c>
      <c r="N179" s="150">
        <v>0</v>
      </c>
      <c r="O179" s="150">
        <v>0</v>
      </c>
      <c r="P179" s="150"/>
      <c r="Q179" s="189">
        <f>F179+K179</f>
        <v>0</v>
      </c>
      <c r="R179" s="153"/>
      <c r="S179" s="153"/>
      <c r="T179" s="153"/>
      <c r="U179" s="153"/>
      <c r="V179" s="153"/>
      <c r="W179" s="153"/>
    </row>
    <row r="180" spans="1:23" ht="28.5">
      <c r="A180" s="100"/>
      <c r="B180" s="350">
        <v>24</v>
      </c>
      <c r="C180" s="350"/>
      <c r="D180" s="350"/>
      <c r="E180" s="8" t="s">
        <v>255</v>
      </c>
      <c r="F180" s="154">
        <f>F181+F182</f>
        <v>102040</v>
      </c>
      <c r="G180" s="154">
        <f aca="true" t="shared" si="42" ref="G180:L180">G181+G182</f>
        <v>102040</v>
      </c>
      <c r="H180" s="154">
        <f t="shared" si="42"/>
        <v>0</v>
      </c>
      <c r="I180" s="154">
        <f t="shared" si="42"/>
        <v>0</v>
      </c>
      <c r="J180" s="154">
        <f t="shared" si="42"/>
        <v>0</v>
      </c>
      <c r="K180" s="154">
        <f t="shared" si="42"/>
        <v>73596.45</v>
      </c>
      <c r="L180" s="154">
        <f t="shared" si="42"/>
        <v>0</v>
      </c>
      <c r="M180" s="154">
        <f>M181+M182</f>
        <v>73596.45</v>
      </c>
      <c r="N180" s="154">
        <f>N181+N182</f>
        <v>0</v>
      </c>
      <c r="O180" s="154">
        <f>O181+O182</f>
        <v>0</v>
      </c>
      <c r="P180" s="154">
        <f>P181+P182</f>
        <v>0</v>
      </c>
      <c r="Q180" s="155">
        <f>Q181+Q182</f>
        <v>175636.45</v>
      </c>
      <c r="R180" s="145"/>
      <c r="S180" s="145"/>
      <c r="T180" s="145"/>
      <c r="U180" s="145"/>
      <c r="V180" s="145"/>
      <c r="W180" s="145"/>
    </row>
    <row r="181" spans="1:23" s="76" customFormat="1" ht="24">
      <c r="A181" s="101" t="s">
        <v>202</v>
      </c>
      <c r="B181" s="139">
        <v>2417110</v>
      </c>
      <c r="C181" s="131" t="s">
        <v>388</v>
      </c>
      <c r="D181" s="131" t="s">
        <v>309</v>
      </c>
      <c r="E181" s="130" t="s">
        <v>389</v>
      </c>
      <c r="F181" s="156">
        <f>G181+J181</f>
        <v>102040</v>
      </c>
      <c r="G181" s="148">
        <f>108000-55960+50000</f>
        <v>102040</v>
      </c>
      <c r="H181" s="148">
        <v>0</v>
      </c>
      <c r="I181" s="148">
        <v>0</v>
      </c>
      <c r="J181" s="148">
        <v>0</v>
      </c>
      <c r="K181" s="161">
        <f>M181+P181</f>
        <v>0</v>
      </c>
      <c r="L181" s="118">
        <f t="shared" si="40"/>
        <v>0</v>
      </c>
      <c r="M181" s="148">
        <v>0</v>
      </c>
      <c r="N181" s="148">
        <v>0</v>
      </c>
      <c r="O181" s="148">
        <v>0</v>
      </c>
      <c r="P181" s="148">
        <v>0</v>
      </c>
      <c r="Q181" s="161">
        <f aca="true" t="shared" si="43" ref="Q181:Q212">F181+K181</f>
        <v>102040</v>
      </c>
      <c r="R181" s="159"/>
      <c r="S181" s="159"/>
      <c r="T181" s="159"/>
      <c r="U181" s="159"/>
      <c r="V181" s="159"/>
      <c r="W181" s="159"/>
    </row>
    <row r="182" spans="1:23" s="76" customFormat="1" ht="12.75">
      <c r="A182" s="101" t="s">
        <v>203</v>
      </c>
      <c r="B182" s="139">
        <v>2417130</v>
      </c>
      <c r="C182" s="131" t="s">
        <v>565</v>
      </c>
      <c r="D182" s="131" t="s">
        <v>309</v>
      </c>
      <c r="E182" s="128" t="s">
        <v>566</v>
      </c>
      <c r="F182" s="156">
        <v>0</v>
      </c>
      <c r="G182" s="148">
        <v>0</v>
      </c>
      <c r="H182" s="148">
        <v>0</v>
      </c>
      <c r="I182" s="148">
        <v>0</v>
      </c>
      <c r="J182" s="148">
        <v>0</v>
      </c>
      <c r="K182" s="161">
        <f>M182+P182</f>
        <v>73596.45</v>
      </c>
      <c r="L182" s="118">
        <f t="shared" si="40"/>
        <v>0</v>
      </c>
      <c r="M182" s="148">
        <v>73596.45</v>
      </c>
      <c r="N182" s="148">
        <v>0</v>
      </c>
      <c r="O182" s="148">
        <v>0</v>
      </c>
      <c r="P182" s="148">
        <v>0</v>
      </c>
      <c r="Q182" s="161">
        <f t="shared" si="43"/>
        <v>73596.45</v>
      </c>
      <c r="R182" s="159"/>
      <c r="S182" s="159"/>
      <c r="T182" s="159"/>
      <c r="U182" s="159"/>
      <c r="V182" s="159"/>
      <c r="W182" s="159"/>
    </row>
    <row r="183" spans="1:23" ht="26.25" customHeight="1">
      <c r="A183" s="100" t="s">
        <v>204</v>
      </c>
      <c r="B183" s="350">
        <v>37</v>
      </c>
      <c r="C183" s="350"/>
      <c r="D183" s="350"/>
      <c r="E183" s="8" t="s">
        <v>109</v>
      </c>
      <c r="F183" s="169">
        <f>F184+F202+F221+F222+F223+F224+F225+F226+F227+F228+F220+F229+F218</f>
        <v>9988003</v>
      </c>
      <c r="G183" s="169">
        <f>G184+G202+G221+G222+G223+G224+G225+G226+G227+G228+G220+G229+G218</f>
        <v>9961860</v>
      </c>
      <c r="H183" s="169">
        <f aca="true" t="shared" si="44" ref="H183:O183">H184+H202+H221+H222+H223+H224+H225+H226+H227+H228+H229</f>
        <v>0</v>
      </c>
      <c r="I183" s="169">
        <f t="shared" si="44"/>
        <v>0</v>
      </c>
      <c r="J183" s="169">
        <f t="shared" si="44"/>
        <v>26143</v>
      </c>
      <c r="K183" s="169">
        <f>K184+K214+K219+K222+K223+K224+K225+K226+K227+K228+K229</f>
        <v>1374936</v>
      </c>
      <c r="L183" s="169">
        <f>L184+L214+L219+L222+L223+L224+L225+L226+L227+L228+L229</f>
        <v>1374936</v>
      </c>
      <c r="M183" s="169">
        <f t="shared" si="44"/>
        <v>0</v>
      </c>
      <c r="N183" s="169">
        <f t="shared" si="44"/>
        <v>0</v>
      </c>
      <c r="O183" s="169">
        <f t="shared" si="44"/>
        <v>0</v>
      </c>
      <c r="P183" s="169">
        <f>P184+P214+P219+P222+P223+P224+P225+P226+P227+P228+P229</f>
        <v>1374936</v>
      </c>
      <c r="Q183" s="175">
        <f>F183+K183</f>
        <v>11362939</v>
      </c>
      <c r="R183" s="145"/>
      <c r="S183" s="145"/>
      <c r="T183" s="145"/>
      <c r="U183" s="145"/>
      <c r="V183" s="145"/>
      <c r="W183" s="145"/>
    </row>
    <row r="184" spans="1:23" ht="24" hidden="1">
      <c r="A184" s="100" t="s">
        <v>237</v>
      </c>
      <c r="B184" s="135">
        <v>3719150</v>
      </c>
      <c r="C184" s="132" t="s">
        <v>593</v>
      </c>
      <c r="D184" s="132" t="s">
        <v>301</v>
      </c>
      <c r="E184" s="117" t="s">
        <v>594</v>
      </c>
      <c r="F184" s="146">
        <f>G184</f>
        <v>0</v>
      </c>
      <c r="G184" s="147"/>
      <c r="H184" s="82">
        <v>0</v>
      </c>
      <c r="I184" s="82">
        <v>0</v>
      </c>
      <c r="J184" s="82"/>
      <c r="K184" s="163">
        <f>M184+P184</f>
        <v>0</v>
      </c>
      <c r="L184" s="118">
        <f t="shared" si="40"/>
        <v>0</v>
      </c>
      <c r="M184" s="82">
        <v>0</v>
      </c>
      <c r="N184" s="82">
        <v>0</v>
      </c>
      <c r="O184" s="82">
        <v>0</v>
      </c>
      <c r="P184" s="82">
        <v>0</v>
      </c>
      <c r="Q184" s="163">
        <f t="shared" si="43"/>
        <v>0</v>
      </c>
      <c r="R184" s="145"/>
      <c r="S184" s="145"/>
      <c r="T184" s="145"/>
      <c r="U184" s="145"/>
      <c r="V184" s="145"/>
      <c r="W184" s="145"/>
    </row>
    <row r="185" spans="1:23" ht="33.75" hidden="1">
      <c r="A185" s="100"/>
      <c r="B185" s="88" t="s">
        <v>28</v>
      </c>
      <c r="C185" s="84"/>
      <c r="D185" s="84"/>
      <c r="E185" s="6" t="s">
        <v>29</v>
      </c>
      <c r="F185" s="146"/>
      <c r="G185" s="147"/>
      <c r="H185" s="82">
        <v>0</v>
      </c>
      <c r="I185" s="82">
        <v>0</v>
      </c>
      <c r="J185" s="82"/>
      <c r="K185" s="163">
        <f aca="true" t="shared" si="45" ref="K185:K230">M185+P185</f>
        <v>0</v>
      </c>
      <c r="L185" s="118">
        <f t="shared" si="40"/>
        <v>0</v>
      </c>
      <c r="M185" s="82">
        <v>0</v>
      </c>
      <c r="N185" s="82">
        <v>0</v>
      </c>
      <c r="O185" s="82">
        <v>0</v>
      </c>
      <c r="P185" s="82">
        <v>0</v>
      </c>
      <c r="Q185" s="163">
        <f t="shared" si="43"/>
        <v>0</v>
      </c>
      <c r="R185" s="145"/>
      <c r="S185" s="145"/>
      <c r="T185" s="145"/>
      <c r="U185" s="145"/>
      <c r="V185" s="145"/>
      <c r="W185" s="145"/>
    </row>
    <row r="186" spans="1:23" ht="33.75" hidden="1">
      <c r="A186" s="100"/>
      <c r="B186" s="87">
        <v>250312</v>
      </c>
      <c r="C186" s="110"/>
      <c r="D186" s="110"/>
      <c r="E186" s="25" t="s">
        <v>91</v>
      </c>
      <c r="F186" s="146"/>
      <c r="G186" s="147"/>
      <c r="H186" s="82">
        <v>0</v>
      </c>
      <c r="I186" s="82">
        <v>0</v>
      </c>
      <c r="J186" s="82"/>
      <c r="K186" s="163">
        <f t="shared" si="45"/>
        <v>0</v>
      </c>
      <c r="L186" s="118">
        <f t="shared" si="40"/>
        <v>0</v>
      </c>
      <c r="M186" s="82">
        <v>0</v>
      </c>
      <c r="N186" s="82">
        <v>0</v>
      </c>
      <c r="O186" s="82">
        <v>0</v>
      </c>
      <c r="P186" s="82">
        <v>0</v>
      </c>
      <c r="Q186" s="163">
        <f t="shared" si="43"/>
        <v>0</v>
      </c>
      <c r="R186" s="145"/>
      <c r="S186" s="145"/>
      <c r="T186" s="145"/>
      <c r="U186" s="145"/>
      <c r="V186" s="145"/>
      <c r="W186" s="145"/>
    </row>
    <row r="187" spans="1:23" ht="22.5" hidden="1">
      <c r="A187" s="100"/>
      <c r="B187" s="88">
        <v>250315</v>
      </c>
      <c r="C187" s="84"/>
      <c r="D187" s="84"/>
      <c r="E187" s="25" t="s">
        <v>123</v>
      </c>
      <c r="F187" s="146"/>
      <c r="G187" s="147"/>
      <c r="H187" s="82">
        <v>0</v>
      </c>
      <c r="I187" s="82">
        <v>0</v>
      </c>
      <c r="J187" s="82"/>
      <c r="K187" s="163">
        <f t="shared" si="45"/>
        <v>0</v>
      </c>
      <c r="L187" s="118">
        <f t="shared" si="40"/>
        <v>0</v>
      </c>
      <c r="M187" s="82">
        <v>0</v>
      </c>
      <c r="N187" s="82">
        <v>0</v>
      </c>
      <c r="O187" s="82">
        <v>0</v>
      </c>
      <c r="P187" s="82">
        <v>0</v>
      </c>
      <c r="Q187" s="163">
        <f t="shared" si="43"/>
        <v>0</v>
      </c>
      <c r="R187" s="145"/>
      <c r="S187" s="145"/>
      <c r="T187" s="145"/>
      <c r="U187" s="145"/>
      <c r="V187" s="145"/>
      <c r="W187" s="145"/>
    </row>
    <row r="188" spans="1:23" ht="22.5" hidden="1">
      <c r="A188" s="100"/>
      <c r="B188" s="88">
        <v>250315</v>
      </c>
      <c r="C188" s="84"/>
      <c r="D188" s="84"/>
      <c r="E188" s="25" t="s">
        <v>94</v>
      </c>
      <c r="F188" s="146"/>
      <c r="G188" s="147"/>
      <c r="H188" s="82">
        <v>0</v>
      </c>
      <c r="I188" s="82">
        <v>0</v>
      </c>
      <c r="J188" s="82"/>
      <c r="K188" s="163">
        <f t="shared" si="45"/>
        <v>0</v>
      </c>
      <c r="L188" s="118">
        <f t="shared" si="40"/>
        <v>0</v>
      </c>
      <c r="M188" s="82">
        <v>0</v>
      </c>
      <c r="N188" s="82">
        <v>0</v>
      </c>
      <c r="O188" s="82">
        <v>0</v>
      </c>
      <c r="P188" s="82">
        <v>0</v>
      </c>
      <c r="Q188" s="163">
        <f t="shared" si="43"/>
        <v>0</v>
      </c>
      <c r="R188" s="145"/>
      <c r="S188" s="145"/>
      <c r="T188" s="145"/>
      <c r="U188" s="145"/>
      <c r="V188" s="145"/>
      <c r="W188" s="145"/>
    </row>
    <row r="189" spans="1:23" ht="22.5" hidden="1">
      <c r="A189" s="100"/>
      <c r="B189" s="88">
        <v>250315</v>
      </c>
      <c r="C189" s="84"/>
      <c r="D189" s="84"/>
      <c r="E189" s="25" t="s">
        <v>205</v>
      </c>
      <c r="F189" s="146"/>
      <c r="G189" s="147"/>
      <c r="H189" s="82">
        <v>0</v>
      </c>
      <c r="I189" s="82">
        <v>0</v>
      </c>
      <c r="J189" s="82"/>
      <c r="K189" s="163">
        <f t="shared" si="45"/>
        <v>0</v>
      </c>
      <c r="L189" s="118">
        <f t="shared" si="40"/>
        <v>0</v>
      </c>
      <c r="M189" s="82">
        <v>0</v>
      </c>
      <c r="N189" s="82">
        <v>0</v>
      </c>
      <c r="O189" s="82">
        <v>0</v>
      </c>
      <c r="P189" s="82">
        <v>0</v>
      </c>
      <c r="Q189" s="163">
        <f t="shared" si="43"/>
        <v>0</v>
      </c>
      <c r="R189" s="145"/>
      <c r="S189" s="145"/>
      <c r="T189" s="145"/>
      <c r="U189" s="145"/>
      <c r="V189" s="145"/>
      <c r="W189" s="145"/>
    </row>
    <row r="190" spans="1:23" ht="22.5" hidden="1">
      <c r="A190" s="100"/>
      <c r="B190" s="88">
        <v>250315</v>
      </c>
      <c r="C190" s="84"/>
      <c r="D190" s="84"/>
      <c r="E190" s="25" t="s">
        <v>124</v>
      </c>
      <c r="F190" s="146"/>
      <c r="G190" s="147"/>
      <c r="H190" s="82">
        <v>0</v>
      </c>
      <c r="I190" s="82">
        <v>0</v>
      </c>
      <c r="J190" s="82"/>
      <c r="K190" s="163">
        <f t="shared" si="45"/>
        <v>0</v>
      </c>
      <c r="L190" s="118">
        <f t="shared" si="40"/>
        <v>0</v>
      </c>
      <c r="M190" s="82">
        <v>0</v>
      </c>
      <c r="N190" s="82">
        <v>0</v>
      </c>
      <c r="O190" s="82">
        <v>0</v>
      </c>
      <c r="P190" s="82">
        <v>0</v>
      </c>
      <c r="Q190" s="163">
        <f t="shared" si="43"/>
        <v>0</v>
      </c>
      <c r="R190" s="145"/>
      <c r="S190" s="145"/>
      <c r="T190" s="145"/>
      <c r="U190" s="145"/>
      <c r="V190" s="145"/>
      <c r="W190" s="145"/>
    </row>
    <row r="191" spans="1:23" ht="22.5" hidden="1">
      <c r="A191" s="100"/>
      <c r="B191" s="88">
        <v>250315</v>
      </c>
      <c r="C191" s="84"/>
      <c r="D191" s="84"/>
      <c r="E191" s="25" t="s">
        <v>206</v>
      </c>
      <c r="F191" s="146"/>
      <c r="G191" s="147"/>
      <c r="H191" s="82">
        <v>0</v>
      </c>
      <c r="I191" s="82">
        <v>0</v>
      </c>
      <c r="J191" s="82"/>
      <c r="K191" s="163">
        <f t="shared" si="45"/>
        <v>0</v>
      </c>
      <c r="L191" s="118">
        <f t="shared" si="40"/>
        <v>0</v>
      </c>
      <c r="M191" s="82">
        <v>0</v>
      </c>
      <c r="N191" s="82">
        <v>0</v>
      </c>
      <c r="O191" s="82">
        <v>0</v>
      </c>
      <c r="P191" s="82">
        <v>0</v>
      </c>
      <c r="Q191" s="163">
        <f t="shared" si="43"/>
        <v>0</v>
      </c>
      <c r="R191" s="145"/>
      <c r="S191" s="145"/>
      <c r="T191" s="145"/>
      <c r="U191" s="145"/>
      <c r="V191" s="145"/>
      <c r="W191" s="145"/>
    </row>
    <row r="192" spans="1:23" ht="22.5" hidden="1">
      <c r="A192" s="100"/>
      <c r="B192" s="88">
        <v>250315</v>
      </c>
      <c r="C192" s="84"/>
      <c r="D192" s="84"/>
      <c r="E192" s="25" t="s">
        <v>116</v>
      </c>
      <c r="F192" s="146"/>
      <c r="G192" s="147"/>
      <c r="H192" s="82">
        <v>0</v>
      </c>
      <c r="I192" s="82">
        <v>0</v>
      </c>
      <c r="J192" s="82"/>
      <c r="K192" s="163">
        <f t="shared" si="45"/>
        <v>0</v>
      </c>
      <c r="L192" s="118">
        <f t="shared" si="40"/>
        <v>0</v>
      </c>
      <c r="M192" s="82">
        <v>0</v>
      </c>
      <c r="N192" s="82">
        <v>0</v>
      </c>
      <c r="O192" s="82">
        <v>0</v>
      </c>
      <c r="P192" s="82">
        <v>0</v>
      </c>
      <c r="Q192" s="163">
        <f t="shared" si="43"/>
        <v>0</v>
      </c>
      <c r="R192" s="145"/>
      <c r="S192" s="145"/>
      <c r="T192" s="145"/>
      <c r="U192" s="145"/>
      <c r="V192" s="145"/>
      <c r="W192" s="145"/>
    </row>
    <row r="193" spans="1:23" ht="22.5" hidden="1">
      <c r="A193" s="100"/>
      <c r="B193" s="88">
        <v>250315</v>
      </c>
      <c r="C193" s="84"/>
      <c r="D193" s="84"/>
      <c r="E193" s="25" t="s">
        <v>107</v>
      </c>
      <c r="F193" s="146"/>
      <c r="G193" s="147"/>
      <c r="H193" s="82">
        <v>0</v>
      </c>
      <c r="I193" s="82">
        <v>0</v>
      </c>
      <c r="J193" s="82"/>
      <c r="K193" s="163">
        <f t="shared" si="45"/>
        <v>0</v>
      </c>
      <c r="L193" s="118">
        <f t="shared" si="40"/>
        <v>0</v>
      </c>
      <c r="M193" s="82">
        <v>0</v>
      </c>
      <c r="N193" s="82">
        <v>0</v>
      </c>
      <c r="O193" s="82">
        <v>0</v>
      </c>
      <c r="P193" s="82">
        <v>0</v>
      </c>
      <c r="Q193" s="163">
        <f t="shared" si="43"/>
        <v>0</v>
      </c>
      <c r="R193" s="145"/>
      <c r="S193" s="145"/>
      <c r="T193" s="145"/>
      <c r="U193" s="145"/>
      <c r="V193" s="145"/>
      <c r="W193" s="145"/>
    </row>
    <row r="194" spans="1:23" ht="22.5" hidden="1">
      <c r="A194" s="100"/>
      <c r="B194" s="88">
        <v>250315</v>
      </c>
      <c r="C194" s="84"/>
      <c r="D194" s="84"/>
      <c r="E194" s="25" t="s">
        <v>207</v>
      </c>
      <c r="F194" s="146"/>
      <c r="G194" s="147"/>
      <c r="H194" s="82">
        <v>0</v>
      </c>
      <c r="I194" s="82">
        <v>0</v>
      </c>
      <c r="J194" s="82"/>
      <c r="K194" s="163">
        <f t="shared" si="45"/>
        <v>0</v>
      </c>
      <c r="L194" s="118">
        <f t="shared" si="40"/>
        <v>0</v>
      </c>
      <c r="M194" s="82">
        <v>0</v>
      </c>
      <c r="N194" s="82">
        <v>0</v>
      </c>
      <c r="O194" s="82">
        <v>0</v>
      </c>
      <c r="P194" s="82">
        <v>0</v>
      </c>
      <c r="Q194" s="163">
        <f t="shared" si="43"/>
        <v>0</v>
      </c>
      <c r="R194" s="145"/>
      <c r="S194" s="145"/>
      <c r="T194" s="145"/>
      <c r="U194" s="145"/>
      <c r="V194" s="145"/>
      <c r="W194" s="145"/>
    </row>
    <row r="195" spans="1:23" ht="22.5" hidden="1">
      <c r="A195" s="100"/>
      <c r="B195" s="88">
        <v>250315</v>
      </c>
      <c r="C195" s="84"/>
      <c r="D195" s="84"/>
      <c r="E195" s="25" t="s">
        <v>208</v>
      </c>
      <c r="F195" s="146"/>
      <c r="G195" s="147"/>
      <c r="H195" s="82">
        <v>0</v>
      </c>
      <c r="I195" s="82">
        <v>0</v>
      </c>
      <c r="J195" s="82"/>
      <c r="K195" s="163">
        <f t="shared" si="45"/>
        <v>0</v>
      </c>
      <c r="L195" s="118">
        <f t="shared" si="40"/>
        <v>0</v>
      </c>
      <c r="M195" s="82">
        <v>0</v>
      </c>
      <c r="N195" s="82">
        <v>0</v>
      </c>
      <c r="O195" s="82">
        <v>0</v>
      </c>
      <c r="P195" s="82">
        <v>0</v>
      </c>
      <c r="Q195" s="163">
        <f t="shared" si="43"/>
        <v>0</v>
      </c>
      <c r="R195" s="145"/>
      <c r="S195" s="145"/>
      <c r="T195" s="145"/>
      <c r="U195" s="145"/>
      <c r="V195" s="145"/>
      <c r="W195" s="145"/>
    </row>
    <row r="196" spans="1:23" ht="22.5" hidden="1">
      <c r="A196" s="100"/>
      <c r="B196" s="88">
        <v>250315</v>
      </c>
      <c r="C196" s="84"/>
      <c r="D196" s="84"/>
      <c r="E196" s="25" t="s">
        <v>209</v>
      </c>
      <c r="F196" s="146">
        <f>G196+J196</f>
        <v>0</v>
      </c>
      <c r="G196" s="147"/>
      <c r="H196" s="82">
        <v>0</v>
      </c>
      <c r="I196" s="82">
        <v>0</v>
      </c>
      <c r="J196" s="82">
        <v>0</v>
      </c>
      <c r="K196" s="163">
        <f t="shared" si="45"/>
        <v>0</v>
      </c>
      <c r="L196" s="118">
        <f t="shared" si="40"/>
        <v>0</v>
      </c>
      <c r="M196" s="82">
        <v>0</v>
      </c>
      <c r="N196" s="82">
        <v>0</v>
      </c>
      <c r="O196" s="82">
        <v>0</v>
      </c>
      <c r="P196" s="82">
        <v>0</v>
      </c>
      <c r="Q196" s="163">
        <f t="shared" si="43"/>
        <v>0</v>
      </c>
      <c r="R196" s="145"/>
      <c r="S196" s="145"/>
      <c r="T196" s="145"/>
      <c r="U196" s="145"/>
      <c r="V196" s="145"/>
      <c r="W196" s="145"/>
    </row>
    <row r="197" spans="1:23" ht="22.5" hidden="1">
      <c r="A197" s="100"/>
      <c r="B197" s="88">
        <v>250315</v>
      </c>
      <c r="C197" s="84"/>
      <c r="D197" s="84"/>
      <c r="E197" s="25" t="s">
        <v>94</v>
      </c>
      <c r="F197" s="146">
        <f>G197+J197</f>
        <v>0</v>
      </c>
      <c r="G197" s="147"/>
      <c r="H197" s="82">
        <v>0</v>
      </c>
      <c r="I197" s="82">
        <v>0</v>
      </c>
      <c r="J197" s="82">
        <v>0</v>
      </c>
      <c r="K197" s="163">
        <f t="shared" si="45"/>
        <v>0</v>
      </c>
      <c r="L197" s="118">
        <f t="shared" si="40"/>
        <v>0</v>
      </c>
      <c r="M197" s="82">
        <v>0</v>
      </c>
      <c r="N197" s="82">
        <v>0</v>
      </c>
      <c r="O197" s="82">
        <v>0</v>
      </c>
      <c r="P197" s="82">
        <v>0</v>
      </c>
      <c r="Q197" s="163">
        <f t="shared" si="43"/>
        <v>0</v>
      </c>
      <c r="R197" s="145"/>
      <c r="S197" s="145"/>
      <c r="T197" s="145"/>
      <c r="U197" s="145"/>
      <c r="V197" s="145"/>
      <c r="W197" s="145"/>
    </row>
    <row r="198" spans="1:23" ht="22.5" hidden="1">
      <c r="A198" s="100"/>
      <c r="B198" s="87">
        <v>250309</v>
      </c>
      <c r="C198" s="110"/>
      <c r="D198" s="110"/>
      <c r="E198" s="25" t="s">
        <v>104</v>
      </c>
      <c r="F198" s="146">
        <f>G198+J198</f>
        <v>0</v>
      </c>
      <c r="G198" s="82"/>
      <c r="H198" s="82">
        <v>0</v>
      </c>
      <c r="I198" s="82">
        <v>0</v>
      </c>
      <c r="J198" s="82"/>
      <c r="K198" s="163">
        <f t="shared" si="45"/>
        <v>0</v>
      </c>
      <c r="L198" s="118">
        <f t="shared" si="40"/>
        <v>0</v>
      </c>
      <c r="M198" s="82"/>
      <c r="N198" s="82">
        <v>0</v>
      </c>
      <c r="O198" s="82">
        <v>0</v>
      </c>
      <c r="P198" s="82">
        <v>0</v>
      </c>
      <c r="Q198" s="163">
        <f t="shared" si="43"/>
        <v>0</v>
      </c>
      <c r="R198" s="145"/>
      <c r="S198" s="145"/>
      <c r="T198" s="145"/>
      <c r="U198" s="145"/>
      <c r="V198" s="145"/>
      <c r="W198" s="145"/>
    </row>
    <row r="199" spans="1:23" ht="33.75" hidden="1">
      <c r="A199" s="100"/>
      <c r="B199" s="88">
        <v>250344</v>
      </c>
      <c r="C199" s="84"/>
      <c r="D199" s="84"/>
      <c r="E199" s="6" t="s">
        <v>80</v>
      </c>
      <c r="F199" s="146">
        <f>G199+J199</f>
        <v>0</v>
      </c>
      <c r="G199" s="82"/>
      <c r="H199" s="82">
        <v>0</v>
      </c>
      <c r="I199" s="82">
        <v>0</v>
      </c>
      <c r="J199" s="82">
        <v>0</v>
      </c>
      <c r="K199" s="163">
        <f t="shared" si="45"/>
        <v>0</v>
      </c>
      <c r="L199" s="118">
        <f t="shared" si="40"/>
        <v>0</v>
      </c>
      <c r="M199" s="82">
        <v>0</v>
      </c>
      <c r="N199" s="82">
        <v>0</v>
      </c>
      <c r="O199" s="82">
        <v>0</v>
      </c>
      <c r="P199" s="82">
        <v>0</v>
      </c>
      <c r="Q199" s="163">
        <f t="shared" si="43"/>
        <v>0</v>
      </c>
      <c r="R199" s="145"/>
      <c r="S199" s="145"/>
      <c r="T199" s="145"/>
      <c r="U199" s="145"/>
      <c r="V199" s="145"/>
      <c r="W199" s="145"/>
    </row>
    <row r="200" spans="1:23" s="76" customFormat="1" ht="12.75" hidden="1">
      <c r="A200" s="101"/>
      <c r="B200" s="92">
        <v>7618800</v>
      </c>
      <c r="C200" s="113"/>
      <c r="D200" s="113"/>
      <c r="E200" s="75" t="s">
        <v>30</v>
      </c>
      <c r="F200" s="186">
        <f>G200</f>
        <v>0</v>
      </c>
      <c r="G200" s="148"/>
      <c r="H200" s="148">
        <v>0</v>
      </c>
      <c r="I200" s="148">
        <v>0</v>
      </c>
      <c r="J200" s="148"/>
      <c r="K200" s="161">
        <f t="shared" si="45"/>
        <v>0</v>
      </c>
      <c r="L200" s="118">
        <f t="shared" si="40"/>
        <v>0</v>
      </c>
      <c r="M200" s="148">
        <v>0</v>
      </c>
      <c r="N200" s="148">
        <v>0</v>
      </c>
      <c r="O200" s="148">
        <v>0</v>
      </c>
      <c r="P200" s="148">
        <v>0</v>
      </c>
      <c r="Q200" s="161">
        <f t="shared" si="43"/>
        <v>0</v>
      </c>
      <c r="R200" s="159"/>
      <c r="S200" s="159"/>
      <c r="T200" s="159"/>
      <c r="U200" s="159"/>
      <c r="V200" s="159"/>
      <c r="W200" s="159"/>
    </row>
    <row r="201" spans="1:23" s="76" customFormat="1" ht="12.75" hidden="1">
      <c r="A201" s="101"/>
      <c r="B201" s="92"/>
      <c r="C201" s="97"/>
      <c r="D201" s="97"/>
      <c r="E201" s="114" t="s">
        <v>254</v>
      </c>
      <c r="F201" s="186">
        <f>G201</f>
        <v>0</v>
      </c>
      <c r="G201" s="191"/>
      <c r="H201" s="148">
        <v>0</v>
      </c>
      <c r="I201" s="148">
        <v>0</v>
      </c>
      <c r="J201" s="148"/>
      <c r="K201" s="161">
        <f t="shared" si="45"/>
        <v>0</v>
      </c>
      <c r="L201" s="118">
        <f t="shared" si="40"/>
        <v>0</v>
      </c>
      <c r="M201" s="148"/>
      <c r="N201" s="148"/>
      <c r="O201" s="148"/>
      <c r="P201" s="148"/>
      <c r="Q201" s="161">
        <f t="shared" si="43"/>
        <v>0</v>
      </c>
      <c r="R201" s="159"/>
      <c r="S201" s="159"/>
      <c r="T201" s="159"/>
      <c r="U201" s="159"/>
      <c r="V201" s="159"/>
      <c r="W201" s="159"/>
    </row>
    <row r="202" spans="1:23" ht="12.75">
      <c r="A202" s="100"/>
      <c r="B202" s="135">
        <v>3719770</v>
      </c>
      <c r="C202" s="132" t="s">
        <v>390</v>
      </c>
      <c r="D202" s="132" t="s">
        <v>301</v>
      </c>
      <c r="E202" s="117" t="s">
        <v>82</v>
      </c>
      <c r="F202" s="193">
        <f>G202</f>
        <v>635000</v>
      </c>
      <c r="G202" s="165">
        <f>400000+200000+35000</f>
        <v>635000</v>
      </c>
      <c r="H202" s="165">
        <v>0</v>
      </c>
      <c r="I202" s="165">
        <v>0</v>
      </c>
      <c r="J202" s="165">
        <v>0</v>
      </c>
      <c r="K202" s="163">
        <f t="shared" si="45"/>
        <v>0</v>
      </c>
      <c r="L202" s="118">
        <f t="shared" si="40"/>
        <v>0</v>
      </c>
      <c r="M202" s="165">
        <v>0</v>
      </c>
      <c r="N202" s="165">
        <v>0</v>
      </c>
      <c r="O202" s="165">
        <v>0</v>
      </c>
      <c r="P202" s="165">
        <v>0</v>
      </c>
      <c r="Q202" s="163">
        <f t="shared" si="43"/>
        <v>635000</v>
      </c>
      <c r="R202" s="145"/>
      <c r="S202" s="145"/>
      <c r="T202" s="145"/>
      <c r="U202" s="145"/>
      <c r="V202" s="145"/>
      <c r="W202" s="145"/>
    </row>
    <row r="203" spans="1:23" ht="12.75" hidden="1">
      <c r="A203" s="100"/>
      <c r="B203" s="141"/>
      <c r="C203" s="142"/>
      <c r="D203" s="142"/>
      <c r="E203" s="117" t="s">
        <v>210</v>
      </c>
      <c r="F203" s="193">
        <f aca="true" t="shared" si="46" ref="F203:F229">G203</f>
        <v>0</v>
      </c>
      <c r="G203" s="165"/>
      <c r="H203" s="165">
        <v>0</v>
      </c>
      <c r="I203" s="165">
        <v>0</v>
      </c>
      <c r="J203" s="165"/>
      <c r="K203" s="163">
        <f t="shared" si="45"/>
        <v>0</v>
      </c>
      <c r="L203" s="118">
        <f t="shared" si="40"/>
        <v>0</v>
      </c>
      <c r="M203" s="165"/>
      <c r="N203" s="165">
        <v>0</v>
      </c>
      <c r="O203" s="165">
        <v>0</v>
      </c>
      <c r="P203" s="165">
        <v>0</v>
      </c>
      <c r="Q203" s="163">
        <f t="shared" si="43"/>
        <v>0</v>
      </c>
      <c r="R203" s="145"/>
      <c r="S203" s="145"/>
      <c r="T203" s="145"/>
      <c r="U203" s="145"/>
      <c r="V203" s="145"/>
      <c r="W203" s="145"/>
    </row>
    <row r="204" spans="1:23" ht="12.75" hidden="1">
      <c r="A204" s="100"/>
      <c r="B204" s="141"/>
      <c r="C204" s="142"/>
      <c r="D204" s="142"/>
      <c r="E204" s="117" t="s">
        <v>92</v>
      </c>
      <c r="F204" s="193">
        <f t="shared" si="46"/>
        <v>0</v>
      </c>
      <c r="G204" s="165"/>
      <c r="H204" s="165">
        <v>0</v>
      </c>
      <c r="I204" s="165">
        <v>0</v>
      </c>
      <c r="J204" s="165"/>
      <c r="K204" s="163">
        <f t="shared" si="45"/>
        <v>0</v>
      </c>
      <c r="L204" s="118">
        <f t="shared" si="40"/>
        <v>0</v>
      </c>
      <c r="M204" s="165">
        <v>0</v>
      </c>
      <c r="N204" s="165">
        <v>0</v>
      </c>
      <c r="O204" s="165">
        <v>0</v>
      </c>
      <c r="P204" s="165"/>
      <c r="Q204" s="163">
        <f t="shared" si="43"/>
        <v>0</v>
      </c>
      <c r="R204" s="145"/>
      <c r="S204" s="145"/>
      <c r="T204" s="145"/>
      <c r="U204" s="145"/>
      <c r="V204" s="145"/>
      <c r="W204" s="145"/>
    </row>
    <row r="205" spans="1:23" ht="24" hidden="1">
      <c r="A205" s="100"/>
      <c r="B205" s="141"/>
      <c r="C205" s="142"/>
      <c r="D205" s="142"/>
      <c r="E205" s="117" t="s">
        <v>81</v>
      </c>
      <c r="F205" s="193">
        <f t="shared" si="46"/>
        <v>0</v>
      </c>
      <c r="G205" s="165"/>
      <c r="H205" s="165">
        <v>0</v>
      </c>
      <c r="I205" s="165">
        <v>0</v>
      </c>
      <c r="J205" s="165"/>
      <c r="K205" s="163">
        <f t="shared" si="45"/>
        <v>0</v>
      </c>
      <c r="L205" s="118">
        <f t="shared" si="40"/>
        <v>0</v>
      </c>
      <c r="M205" s="165">
        <v>0</v>
      </c>
      <c r="N205" s="165">
        <v>0</v>
      </c>
      <c r="O205" s="165">
        <v>0</v>
      </c>
      <c r="P205" s="165"/>
      <c r="Q205" s="163">
        <f t="shared" si="43"/>
        <v>0</v>
      </c>
      <c r="R205" s="145"/>
      <c r="S205" s="145"/>
      <c r="T205" s="145"/>
      <c r="U205" s="145"/>
      <c r="V205" s="145"/>
      <c r="W205" s="145"/>
    </row>
    <row r="206" spans="1:23" ht="12.75" hidden="1">
      <c r="A206" s="100"/>
      <c r="B206" s="141"/>
      <c r="C206" s="142"/>
      <c r="D206" s="142"/>
      <c r="E206" s="117" t="s">
        <v>83</v>
      </c>
      <c r="F206" s="193">
        <f t="shared" si="46"/>
        <v>0</v>
      </c>
      <c r="G206" s="165"/>
      <c r="H206" s="165">
        <v>0</v>
      </c>
      <c r="I206" s="165">
        <v>0</v>
      </c>
      <c r="J206" s="165"/>
      <c r="K206" s="163">
        <f t="shared" si="45"/>
        <v>0</v>
      </c>
      <c r="L206" s="118">
        <f t="shared" si="40"/>
        <v>0</v>
      </c>
      <c r="M206" s="165">
        <v>0</v>
      </c>
      <c r="N206" s="165">
        <v>0</v>
      </c>
      <c r="O206" s="165">
        <v>0</v>
      </c>
      <c r="P206" s="165"/>
      <c r="Q206" s="163">
        <f t="shared" si="43"/>
        <v>0</v>
      </c>
      <c r="R206" s="145"/>
      <c r="S206" s="145"/>
      <c r="T206" s="145"/>
      <c r="U206" s="145"/>
      <c r="V206" s="145"/>
      <c r="W206" s="145"/>
    </row>
    <row r="207" spans="1:23" ht="12.75" hidden="1">
      <c r="A207" s="100"/>
      <c r="B207" s="141"/>
      <c r="C207" s="142"/>
      <c r="D207" s="142"/>
      <c r="E207" s="117" t="s">
        <v>84</v>
      </c>
      <c r="F207" s="193">
        <f t="shared" si="46"/>
        <v>0</v>
      </c>
      <c r="G207" s="165"/>
      <c r="H207" s="165">
        <v>0</v>
      </c>
      <c r="I207" s="165">
        <v>0</v>
      </c>
      <c r="J207" s="165"/>
      <c r="K207" s="163">
        <f t="shared" si="45"/>
        <v>0</v>
      </c>
      <c r="L207" s="118">
        <f t="shared" si="40"/>
        <v>0</v>
      </c>
      <c r="M207" s="165">
        <v>0</v>
      </c>
      <c r="N207" s="165">
        <v>0</v>
      </c>
      <c r="O207" s="165">
        <v>0</v>
      </c>
      <c r="P207" s="165"/>
      <c r="Q207" s="163">
        <f t="shared" si="43"/>
        <v>0</v>
      </c>
      <c r="R207" s="145"/>
      <c r="S207" s="145"/>
      <c r="T207" s="145"/>
      <c r="U207" s="145"/>
      <c r="V207" s="145"/>
      <c r="W207" s="145"/>
    </row>
    <row r="208" spans="1:23" ht="12.75" hidden="1">
      <c r="A208" s="100"/>
      <c r="B208" s="135"/>
      <c r="C208" s="138"/>
      <c r="D208" s="138"/>
      <c r="E208" s="117" t="s">
        <v>112</v>
      </c>
      <c r="F208" s="193">
        <f t="shared" si="46"/>
        <v>0</v>
      </c>
      <c r="G208" s="165"/>
      <c r="H208" s="165">
        <v>0</v>
      </c>
      <c r="I208" s="165">
        <v>0</v>
      </c>
      <c r="J208" s="165"/>
      <c r="K208" s="163">
        <f t="shared" si="45"/>
        <v>0</v>
      </c>
      <c r="L208" s="118">
        <f t="shared" si="40"/>
        <v>0</v>
      </c>
      <c r="M208" s="165"/>
      <c r="N208" s="165">
        <v>0</v>
      </c>
      <c r="O208" s="165">
        <v>0</v>
      </c>
      <c r="P208" s="165"/>
      <c r="Q208" s="163">
        <f t="shared" si="43"/>
        <v>0</v>
      </c>
      <c r="R208" s="145"/>
      <c r="S208" s="145"/>
      <c r="T208" s="145"/>
      <c r="U208" s="145"/>
      <c r="V208" s="145"/>
      <c r="W208" s="145"/>
    </row>
    <row r="209" spans="1:23" ht="12.75" hidden="1">
      <c r="A209" s="100"/>
      <c r="B209" s="141"/>
      <c r="C209" s="142"/>
      <c r="D209" s="142"/>
      <c r="E209" s="117" t="s">
        <v>85</v>
      </c>
      <c r="F209" s="193">
        <f t="shared" si="46"/>
        <v>0</v>
      </c>
      <c r="G209" s="165"/>
      <c r="H209" s="165">
        <v>0</v>
      </c>
      <c r="I209" s="165">
        <v>0</v>
      </c>
      <c r="J209" s="165"/>
      <c r="K209" s="163">
        <f t="shared" si="45"/>
        <v>0</v>
      </c>
      <c r="L209" s="118">
        <f t="shared" si="40"/>
        <v>0</v>
      </c>
      <c r="M209" s="165"/>
      <c r="N209" s="165">
        <v>0</v>
      </c>
      <c r="O209" s="165">
        <v>0</v>
      </c>
      <c r="P209" s="165">
        <v>0</v>
      </c>
      <c r="Q209" s="163">
        <f t="shared" si="43"/>
        <v>0</v>
      </c>
      <c r="R209" s="145"/>
      <c r="S209" s="145"/>
      <c r="T209" s="145"/>
      <c r="U209" s="145"/>
      <c r="V209" s="145"/>
      <c r="W209" s="145"/>
    </row>
    <row r="210" spans="1:23" ht="12.75" hidden="1">
      <c r="A210" s="100"/>
      <c r="B210" s="141"/>
      <c r="C210" s="142"/>
      <c r="D210" s="142"/>
      <c r="E210" s="117" t="s">
        <v>89</v>
      </c>
      <c r="F210" s="193">
        <f t="shared" si="46"/>
        <v>0</v>
      </c>
      <c r="G210" s="165"/>
      <c r="H210" s="165">
        <v>0</v>
      </c>
      <c r="I210" s="165">
        <v>0</v>
      </c>
      <c r="J210" s="165"/>
      <c r="K210" s="163">
        <f t="shared" si="45"/>
        <v>0</v>
      </c>
      <c r="L210" s="118">
        <f t="shared" si="40"/>
        <v>0</v>
      </c>
      <c r="M210" s="165">
        <v>0</v>
      </c>
      <c r="N210" s="165">
        <v>0</v>
      </c>
      <c r="O210" s="165">
        <v>0</v>
      </c>
      <c r="P210" s="165"/>
      <c r="Q210" s="163">
        <f t="shared" si="43"/>
        <v>0</v>
      </c>
      <c r="R210" s="145"/>
      <c r="S210" s="145"/>
      <c r="T210" s="145"/>
      <c r="U210" s="145"/>
      <c r="V210" s="145"/>
      <c r="W210" s="145"/>
    </row>
    <row r="211" spans="1:23" ht="12.75" hidden="1">
      <c r="A211" s="100"/>
      <c r="B211" s="141"/>
      <c r="C211" s="142"/>
      <c r="D211" s="142"/>
      <c r="E211" s="117" t="s">
        <v>93</v>
      </c>
      <c r="F211" s="193">
        <f t="shared" si="46"/>
        <v>0</v>
      </c>
      <c r="G211" s="165"/>
      <c r="H211" s="165">
        <v>0</v>
      </c>
      <c r="I211" s="165">
        <v>0</v>
      </c>
      <c r="J211" s="165"/>
      <c r="K211" s="163">
        <f t="shared" si="45"/>
        <v>0</v>
      </c>
      <c r="L211" s="118">
        <f t="shared" si="40"/>
        <v>0</v>
      </c>
      <c r="M211" s="165">
        <v>0</v>
      </c>
      <c r="N211" s="165">
        <v>0</v>
      </c>
      <c r="O211" s="165">
        <v>0</v>
      </c>
      <c r="P211" s="165"/>
      <c r="Q211" s="163">
        <f t="shared" si="43"/>
        <v>0</v>
      </c>
      <c r="R211" s="145"/>
      <c r="S211" s="145"/>
      <c r="T211" s="145"/>
      <c r="U211" s="145"/>
      <c r="V211" s="145"/>
      <c r="W211" s="145"/>
    </row>
    <row r="212" spans="1:23" ht="12.75" hidden="1">
      <c r="A212" s="100"/>
      <c r="B212" s="141"/>
      <c r="C212" s="142"/>
      <c r="D212" s="142"/>
      <c r="E212" s="117" t="s">
        <v>103</v>
      </c>
      <c r="F212" s="193">
        <f t="shared" si="46"/>
        <v>0</v>
      </c>
      <c r="G212" s="165"/>
      <c r="H212" s="165">
        <v>0</v>
      </c>
      <c r="I212" s="165">
        <v>0</v>
      </c>
      <c r="J212" s="165"/>
      <c r="K212" s="163">
        <f t="shared" si="45"/>
        <v>0</v>
      </c>
      <c r="L212" s="118">
        <f t="shared" si="40"/>
        <v>0</v>
      </c>
      <c r="M212" s="165">
        <v>0</v>
      </c>
      <c r="N212" s="165">
        <v>0</v>
      </c>
      <c r="O212" s="165">
        <v>0</v>
      </c>
      <c r="P212" s="165"/>
      <c r="Q212" s="163">
        <f t="shared" si="43"/>
        <v>0</v>
      </c>
      <c r="R212" s="145"/>
      <c r="S212" s="145"/>
      <c r="T212" s="145"/>
      <c r="U212" s="145"/>
      <c r="V212" s="145"/>
      <c r="W212" s="145"/>
    </row>
    <row r="213" spans="1:23" ht="12.75" hidden="1">
      <c r="A213" s="100"/>
      <c r="B213" s="135"/>
      <c r="C213" s="142"/>
      <c r="D213" s="142"/>
      <c r="E213" s="117" t="s">
        <v>256</v>
      </c>
      <c r="F213" s="193">
        <f t="shared" si="46"/>
        <v>0</v>
      </c>
      <c r="G213" s="165"/>
      <c r="H213" s="165">
        <v>0</v>
      </c>
      <c r="I213" s="165">
        <v>0</v>
      </c>
      <c r="J213" s="165"/>
      <c r="K213" s="163">
        <f t="shared" si="45"/>
        <v>0</v>
      </c>
      <c r="L213" s="118">
        <f aca="true" t="shared" si="47" ref="L213:L231">P213</f>
        <v>0</v>
      </c>
      <c r="M213" s="165">
        <v>0</v>
      </c>
      <c r="N213" s="165">
        <v>0</v>
      </c>
      <c r="O213" s="165">
        <v>0</v>
      </c>
      <c r="P213" s="165"/>
      <c r="Q213" s="163">
        <f aca="true" t="shared" si="48" ref="Q213:Q232">F213+K213</f>
        <v>0</v>
      </c>
      <c r="R213" s="145"/>
      <c r="S213" s="145"/>
      <c r="T213" s="145"/>
      <c r="U213" s="145"/>
      <c r="V213" s="145"/>
      <c r="W213" s="145"/>
    </row>
    <row r="214" spans="1:23" ht="12.75">
      <c r="A214" s="100"/>
      <c r="B214" s="135">
        <v>3719770</v>
      </c>
      <c r="C214" s="132" t="s">
        <v>390</v>
      </c>
      <c r="D214" s="132" t="s">
        <v>301</v>
      </c>
      <c r="E214" s="117" t="s">
        <v>623</v>
      </c>
      <c r="F214" s="193">
        <f t="shared" si="46"/>
        <v>0</v>
      </c>
      <c r="G214" s="165">
        <v>0</v>
      </c>
      <c r="H214" s="165">
        <v>0</v>
      </c>
      <c r="I214" s="165">
        <v>0</v>
      </c>
      <c r="J214" s="165">
        <v>0</v>
      </c>
      <c r="K214" s="163">
        <f t="shared" si="45"/>
        <v>1161936</v>
      </c>
      <c r="L214" s="118">
        <f t="shared" si="47"/>
        <v>1161936</v>
      </c>
      <c r="M214" s="165">
        <v>0</v>
      </c>
      <c r="N214" s="165">
        <v>0</v>
      </c>
      <c r="O214" s="165">
        <v>0</v>
      </c>
      <c r="P214" s="165">
        <v>1161936</v>
      </c>
      <c r="Q214" s="163">
        <f t="shared" si="48"/>
        <v>1161936</v>
      </c>
      <c r="R214" s="145"/>
      <c r="S214" s="145"/>
      <c r="T214" s="145"/>
      <c r="U214" s="145"/>
      <c r="V214" s="145"/>
      <c r="W214" s="145"/>
    </row>
    <row r="215" spans="1:23" s="76" customFormat="1" ht="12.75" hidden="1">
      <c r="A215" s="101"/>
      <c r="B215" s="135">
        <v>3719770</v>
      </c>
      <c r="C215" s="132" t="s">
        <v>632</v>
      </c>
      <c r="D215" s="132" t="s">
        <v>635</v>
      </c>
      <c r="E215" s="117" t="s">
        <v>623</v>
      </c>
      <c r="F215" s="257">
        <f t="shared" si="46"/>
        <v>0</v>
      </c>
      <c r="G215" s="191"/>
      <c r="H215" s="191">
        <v>0</v>
      </c>
      <c r="I215" s="191">
        <v>0</v>
      </c>
      <c r="J215" s="191"/>
      <c r="K215" s="161">
        <f t="shared" si="45"/>
        <v>0</v>
      </c>
      <c r="L215" s="118">
        <f t="shared" si="47"/>
        <v>0</v>
      </c>
      <c r="M215" s="191">
        <v>0</v>
      </c>
      <c r="N215" s="191">
        <v>0</v>
      </c>
      <c r="O215" s="191">
        <v>0</v>
      </c>
      <c r="P215" s="191"/>
      <c r="Q215" s="161">
        <f t="shared" si="48"/>
        <v>0</v>
      </c>
      <c r="R215" s="159"/>
      <c r="S215" s="159"/>
      <c r="T215" s="159"/>
      <c r="U215" s="159"/>
      <c r="V215" s="159"/>
      <c r="W215" s="159"/>
    </row>
    <row r="216" spans="1:23" ht="12.75" hidden="1">
      <c r="A216" s="100"/>
      <c r="B216" s="135">
        <v>3719770</v>
      </c>
      <c r="C216" s="132" t="s">
        <v>633</v>
      </c>
      <c r="D216" s="132" t="s">
        <v>636</v>
      </c>
      <c r="E216" s="117" t="s">
        <v>623</v>
      </c>
      <c r="F216" s="193">
        <f t="shared" si="46"/>
        <v>0</v>
      </c>
      <c r="G216" s="165"/>
      <c r="H216" s="165">
        <v>0</v>
      </c>
      <c r="I216" s="165">
        <v>0</v>
      </c>
      <c r="J216" s="165"/>
      <c r="K216" s="163">
        <f t="shared" si="45"/>
        <v>0</v>
      </c>
      <c r="L216" s="118">
        <f t="shared" si="47"/>
        <v>0</v>
      </c>
      <c r="M216" s="165">
        <v>0</v>
      </c>
      <c r="N216" s="165">
        <v>0</v>
      </c>
      <c r="O216" s="165">
        <v>0</v>
      </c>
      <c r="P216" s="165"/>
      <c r="Q216" s="163">
        <f t="shared" si="48"/>
        <v>0</v>
      </c>
      <c r="R216" s="145"/>
      <c r="S216" s="145"/>
      <c r="T216" s="145"/>
      <c r="U216" s="145"/>
      <c r="V216" s="145"/>
      <c r="W216" s="145"/>
    </row>
    <row r="217" spans="1:23" ht="12.75" hidden="1">
      <c r="A217" s="100"/>
      <c r="B217" s="135">
        <v>3719770</v>
      </c>
      <c r="C217" s="132" t="s">
        <v>634</v>
      </c>
      <c r="D217" s="132" t="s">
        <v>637</v>
      </c>
      <c r="E217" s="117" t="s">
        <v>623</v>
      </c>
      <c r="F217" s="193">
        <f t="shared" si="46"/>
        <v>0</v>
      </c>
      <c r="G217" s="165"/>
      <c r="H217" s="165">
        <v>0</v>
      </c>
      <c r="I217" s="165">
        <v>0</v>
      </c>
      <c r="J217" s="165">
        <v>0</v>
      </c>
      <c r="K217" s="163">
        <f t="shared" si="45"/>
        <v>0</v>
      </c>
      <c r="L217" s="118">
        <f t="shared" si="47"/>
        <v>0</v>
      </c>
      <c r="M217" s="165">
        <v>0</v>
      </c>
      <c r="N217" s="165">
        <v>0</v>
      </c>
      <c r="O217" s="165">
        <v>0</v>
      </c>
      <c r="P217" s="165">
        <v>0</v>
      </c>
      <c r="Q217" s="163">
        <f t="shared" si="48"/>
        <v>0</v>
      </c>
      <c r="R217" s="145"/>
      <c r="S217" s="145"/>
      <c r="T217" s="145"/>
      <c r="U217" s="145"/>
      <c r="V217" s="145"/>
      <c r="W217" s="145"/>
    </row>
    <row r="218" spans="1:23" ht="12.75" hidden="1">
      <c r="A218" s="100"/>
      <c r="B218" s="135">
        <v>3719770</v>
      </c>
      <c r="C218" s="132" t="s">
        <v>390</v>
      </c>
      <c r="D218" s="132" t="s">
        <v>301</v>
      </c>
      <c r="E218" s="117" t="s">
        <v>642</v>
      </c>
      <c r="F218" s="193">
        <f>G218</f>
        <v>0</v>
      </c>
      <c r="G218" s="165">
        <f>260000-260000</f>
        <v>0</v>
      </c>
      <c r="H218" s="165">
        <v>0</v>
      </c>
      <c r="I218" s="165">
        <v>0</v>
      </c>
      <c r="J218" s="165">
        <v>0</v>
      </c>
      <c r="K218" s="163">
        <f t="shared" si="45"/>
        <v>0</v>
      </c>
      <c r="L218" s="118">
        <f t="shared" si="47"/>
        <v>0</v>
      </c>
      <c r="M218" s="165">
        <v>0</v>
      </c>
      <c r="N218" s="165">
        <v>0</v>
      </c>
      <c r="O218" s="165">
        <v>0</v>
      </c>
      <c r="P218" s="165">
        <v>0</v>
      </c>
      <c r="Q218" s="163">
        <f t="shared" si="48"/>
        <v>0</v>
      </c>
      <c r="R218" s="145"/>
      <c r="S218" s="145"/>
      <c r="T218" s="145"/>
      <c r="U218" s="145"/>
      <c r="V218" s="145"/>
      <c r="W218" s="145"/>
    </row>
    <row r="219" spans="1:23" ht="12.75">
      <c r="A219" s="100"/>
      <c r="B219" s="135">
        <v>3719770</v>
      </c>
      <c r="C219" s="132" t="s">
        <v>390</v>
      </c>
      <c r="D219" s="132" t="s">
        <v>301</v>
      </c>
      <c r="E219" s="117" t="s">
        <v>84</v>
      </c>
      <c r="F219" s="193">
        <f>G219</f>
        <v>0</v>
      </c>
      <c r="G219" s="165">
        <v>0</v>
      </c>
      <c r="H219" s="165">
        <v>0</v>
      </c>
      <c r="I219" s="165">
        <v>0</v>
      </c>
      <c r="J219" s="165">
        <v>0</v>
      </c>
      <c r="K219" s="163">
        <f t="shared" si="45"/>
        <v>213000</v>
      </c>
      <c r="L219" s="118">
        <f t="shared" si="47"/>
        <v>213000</v>
      </c>
      <c r="M219" s="165">
        <v>0</v>
      </c>
      <c r="N219" s="165">
        <v>0</v>
      </c>
      <c r="O219" s="165">
        <v>0</v>
      </c>
      <c r="P219" s="165">
        <v>213000</v>
      </c>
      <c r="Q219" s="163">
        <f t="shared" si="48"/>
        <v>213000</v>
      </c>
      <c r="R219" s="145"/>
      <c r="S219" s="145"/>
      <c r="T219" s="145"/>
      <c r="U219" s="145"/>
      <c r="V219" s="145"/>
      <c r="W219" s="145"/>
    </row>
    <row r="220" spans="1:23" ht="12.75">
      <c r="A220" s="100"/>
      <c r="B220" s="135">
        <v>3719770</v>
      </c>
      <c r="C220" s="132" t="s">
        <v>390</v>
      </c>
      <c r="D220" s="132" t="s">
        <v>301</v>
      </c>
      <c r="E220" s="117" t="s">
        <v>603</v>
      </c>
      <c r="F220" s="193">
        <f>G220</f>
        <v>83600</v>
      </c>
      <c r="G220" s="165">
        <v>83600</v>
      </c>
      <c r="H220" s="165">
        <v>0</v>
      </c>
      <c r="I220" s="165">
        <v>0</v>
      </c>
      <c r="J220" s="165">
        <v>0</v>
      </c>
      <c r="K220" s="163">
        <f t="shared" si="45"/>
        <v>0</v>
      </c>
      <c r="L220" s="118">
        <f t="shared" si="47"/>
        <v>0</v>
      </c>
      <c r="M220" s="165">
        <v>0</v>
      </c>
      <c r="N220" s="165">
        <v>0</v>
      </c>
      <c r="O220" s="165">
        <v>0</v>
      </c>
      <c r="P220" s="165">
        <v>0</v>
      </c>
      <c r="Q220" s="163">
        <f t="shared" si="48"/>
        <v>83600</v>
      </c>
      <c r="R220" s="145"/>
      <c r="S220" s="145"/>
      <c r="T220" s="145"/>
      <c r="U220" s="145"/>
      <c r="V220" s="145"/>
      <c r="W220" s="145"/>
    </row>
    <row r="221" spans="1:23" ht="24">
      <c r="A221" s="100"/>
      <c r="B221" s="135">
        <v>3719770</v>
      </c>
      <c r="C221" s="132" t="s">
        <v>390</v>
      </c>
      <c r="D221" s="132" t="s">
        <v>301</v>
      </c>
      <c r="E221" s="117" t="s">
        <v>620</v>
      </c>
      <c r="F221" s="193">
        <f>G221</f>
        <v>554160</v>
      </c>
      <c r="G221" s="165">
        <f>632600-213200-419400+279400+140000+134760</f>
        <v>554160</v>
      </c>
      <c r="H221" s="165">
        <v>0</v>
      </c>
      <c r="I221" s="165">
        <v>0</v>
      </c>
      <c r="J221" s="165">
        <v>0</v>
      </c>
      <c r="K221" s="163">
        <f t="shared" si="45"/>
        <v>0</v>
      </c>
      <c r="L221" s="118">
        <f t="shared" si="47"/>
        <v>0</v>
      </c>
      <c r="M221" s="165">
        <v>0</v>
      </c>
      <c r="N221" s="165">
        <v>0</v>
      </c>
      <c r="O221" s="165">
        <v>0</v>
      </c>
      <c r="P221" s="165">
        <v>0</v>
      </c>
      <c r="Q221" s="163">
        <f t="shared" si="48"/>
        <v>554160</v>
      </c>
      <c r="R221" s="145"/>
      <c r="S221" s="145"/>
      <c r="T221" s="145"/>
      <c r="U221" s="145"/>
      <c r="V221" s="145"/>
      <c r="W221" s="145"/>
    </row>
    <row r="222" spans="1:23" ht="24">
      <c r="A222" s="100"/>
      <c r="B222" s="135">
        <v>3719770</v>
      </c>
      <c r="C222" s="132" t="s">
        <v>390</v>
      </c>
      <c r="D222" s="132" t="s">
        <v>301</v>
      </c>
      <c r="E222" s="117" t="s">
        <v>243</v>
      </c>
      <c r="F222" s="193">
        <f t="shared" si="46"/>
        <v>6934800</v>
      </c>
      <c r="G222" s="165">
        <f>6643400-31700+323100</f>
        <v>6934800</v>
      </c>
      <c r="H222" s="165">
        <v>0</v>
      </c>
      <c r="I222" s="165">
        <v>0</v>
      </c>
      <c r="J222" s="165">
        <v>0</v>
      </c>
      <c r="K222" s="163">
        <f t="shared" si="45"/>
        <v>0</v>
      </c>
      <c r="L222" s="118">
        <f t="shared" si="47"/>
        <v>0</v>
      </c>
      <c r="M222" s="165">
        <v>0</v>
      </c>
      <c r="N222" s="165">
        <v>0</v>
      </c>
      <c r="O222" s="165">
        <v>0</v>
      </c>
      <c r="P222" s="165">
        <v>0</v>
      </c>
      <c r="Q222" s="163">
        <f t="shared" si="48"/>
        <v>6934800</v>
      </c>
      <c r="R222" s="145"/>
      <c r="S222" s="145"/>
      <c r="T222" s="145"/>
      <c r="U222" s="145"/>
      <c r="V222" s="145"/>
      <c r="W222" s="145"/>
    </row>
    <row r="223" spans="1:23" ht="24">
      <c r="A223" s="100"/>
      <c r="B223" s="135">
        <v>3719770</v>
      </c>
      <c r="C223" s="132" t="s">
        <v>390</v>
      </c>
      <c r="D223" s="132" t="s">
        <v>301</v>
      </c>
      <c r="E223" s="117" t="s">
        <v>244</v>
      </c>
      <c r="F223" s="193">
        <f t="shared" si="46"/>
        <v>1178000</v>
      </c>
      <c r="G223" s="165">
        <f>1121500+31700+24800</f>
        <v>1178000</v>
      </c>
      <c r="H223" s="165">
        <v>0</v>
      </c>
      <c r="I223" s="165">
        <v>0</v>
      </c>
      <c r="J223" s="165">
        <v>0</v>
      </c>
      <c r="K223" s="163">
        <f t="shared" si="45"/>
        <v>0</v>
      </c>
      <c r="L223" s="118">
        <f t="shared" si="47"/>
        <v>0</v>
      </c>
      <c r="M223" s="165">
        <v>0</v>
      </c>
      <c r="N223" s="165">
        <v>0</v>
      </c>
      <c r="O223" s="165">
        <v>0</v>
      </c>
      <c r="P223" s="165">
        <v>0</v>
      </c>
      <c r="Q223" s="163">
        <f t="shared" si="48"/>
        <v>1178000</v>
      </c>
      <c r="R223" s="145"/>
      <c r="S223" s="145"/>
      <c r="T223" s="145"/>
      <c r="U223" s="145"/>
      <c r="V223" s="145"/>
      <c r="W223" s="145"/>
    </row>
    <row r="224" spans="1:23" ht="12.75" hidden="1">
      <c r="A224" s="100"/>
      <c r="B224" s="135">
        <v>3719770</v>
      </c>
      <c r="C224" s="132" t="s">
        <v>390</v>
      </c>
      <c r="D224" s="132" t="s">
        <v>301</v>
      </c>
      <c r="E224" s="117" t="s">
        <v>591</v>
      </c>
      <c r="F224" s="192">
        <f t="shared" si="46"/>
        <v>0</v>
      </c>
      <c r="G224" s="165">
        <v>0</v>
      </c>
      <c r="H224" s="165">
        <v>0</v>
      </c>
      <c r="I224" s="165">
        <v>0</v>
      </c>
      <c r="J224" s="165">
        <v>0</v>
      </c>
      <c r="K224" s="163">
        <f>M224+P224</f>
        <v>0</v>
      </c>
      <c r="L224" s="118">
        <f t="shared" si="47"/>
        <v>0</v>
      </c>
      <c r="M224" s="165">
        <v>0</v>
      </c>
      <c r="N224" s="165">
        <v>0</v>
      </c>
      <c r="O224" s="165">
        <v>0</v>
      </c>
      <c r="P224" s="165"/>
      <c r="Q224" s="163">
        <f t="shared" si="48"/>
        <v>0</v>
      </c>
      <c r="R224" s="145"/>
      <c r="S224" s="145"/>
      <c r="T224" s="145"/>
      <c r="U224" s="145"/>
      <c r="V224" s="145"/>
      <c r="W224" s="145"/>
    </row>
    <row r="225" spans="1:23" ht="24" hidden="1">
      <c r="A225" s="100"/>
      <c r="B225" s="135">
        <v>3719770</v>
      </c>
      <c r="C225" s="132" t="s">
        <v>390</v>
      </c>
      <c r="D225" s="132" t="s">
        <v>301</v>
      </c>
      <c r="E225" s="117" t="s">
        <v>575</v>
      </c>
      <c r="F225" s="192">
        <f t="shared" si="46"/>
        <v>0</v>
      </c>
      <c r="G225" s="165">
        <v>0</v>
      </c>
      <c r="H225" s="165">
        <v>0</v>
      </c>
      <c r="I225" s="165">
        <v>0</v>
      </c>
      <c r="J225" s="165">
        <v>0</v>
      </c>
      <c r="K225" s="163">
        <f t="shared" si="45"/>
        <v>0</v>
      </c>
      <c r="L225" s="118">
        <f t="shared" si="47"/>
        <v>0</v>
      </c>
      <c r="M225" s="165">
        <v>0</v>
      </c>
      <c r="N225" s="165">
        <v>0</v>
      </c>
      <c r="O225" s="165">
        <v>0</v>
      </c>
      <c r="P225" s="165"/>
      <c r="Q225" s="163">
        <f t="shared" si="48"/>
        <v>0</v>
      </c>
      <c r="R225" s="145"/>
      <c r="S225" s="145"/>
      <c r="T225" s="145"/>
      <c r="U225" s="145"/>
      <c r="V225" s="145"/>
      <c r="W225" s="145"/>
    </row>
    <row r="226" spans="1:23" ht="36">
      <c r="A226" s="100"/>
      <c r="B226" s="135">
        <v>3719800</v>
      </c>
      <c r="C226" s="132" t="s">
        <v>391</v>
      </c>
      <c r="D226" s="132" t="s">
        <v>301</v>
      </c>
      <c r="E226" s="117" t="s">
        <v>564</v>
      </c>
      <c r="F226" s="193">
        <f t="shared" si="46"/>
        <v>458800</v>
      </c>
      <c r="G226" s="165">
        <f>50000+215000+138800+20000+5000+30000</f>
        <v>458800</v>
      </c>
      <c r="H226" s="165">
        <v>0</v>
      </c>
      <c r="I226" s="165">
        <v>0</v>
      </c>
      <c r="J226" s="165">
        <v>0</v>
      </c>
      <c r="K226" s="163">
        <f t="shared" si="45"/>
        <v>0</v>
      </c>
      <c r="L226" s="118">
        <f t="shared" si="47"/>
        <v>0</v>
      </c>
      <c r="M226" s="165">
        <v>0</v>
      </c>
      <c r="N226" s="165">
        <v>0</v>
      </c>
      <c r="O226" s="165">
        <v>0</v>
      </c>
      <c r="P226" s="165">
        <f>120000-120000</f>
        <v>0</v>
      </c>
      <c r="Q226" s="163">
        <f t="shared" si="48"/>
        <v>458800</v>
      </c>
      <c r="R226" s="145"/>
      <c r="S226" s="145"/>
      <c r="T226" s="145"/>
      <c r="U226" s="145"/>
      <c r="V226" s="145"/>
      <c r="W226" s="145"/>
    </row>
    <row r="227" spans="1:23" ht="45" hidden="1">
      <c r="A227" s="100"/>
      <c r="B227" s="120">
        <v>3719510</v>
      </c>
      <c r="C227" s="131" t="s">
        <v>589</v>
      </c>
      <c r="D227" s="131" t="s">
        <v>301</v>
      </c>
      <c r="E227" s="75" t="s">
        <v>590</v>
      </c>
      <c r="F227" s="186">
        <f>G227+J227</f>
        <v>0</v>
      </c>
      <c r="G227" s="192">
        <v>0</v>
      </c>
      <c r="H227" s="192">
        <v>0</v>
      </c>
      <c r="I227" s="192">
        <v>0</v>
      </c>
      <c r="J227" s="192"/>
      <c r="K227" s="193"/>
      <c r="L227" s="118">
        <f t="shared" si="47"/>
        <v>0</v>
      </c>
      <c r="M227" s="193"/>
      <c r="N227" s="193"/>
      <c r="O227" s="193"/>
      <c r="P227" s="193"/>
      <c r="Q227" s="161">
        <f t="shared" si="48"/>
        <v>0</v>
      </c>
      <c r="R227" s="145"/>
      <c r="S227" s="145"/>
      <c r="T227" s="145"/>
      <c r="U227" s="145"/>
      <c r="V227" s="145"/>
      <c r="W227" s="145"/>
    </row>
    <row r="228" spans="1:23" s="76" customFormat="1" ht="72">
      <c r="A228" s="101"/>
      <c r="B228" s="120">
        <v>3719570</v>
      </c>
      <c r="C228" s="131" t="s">
        <v>574</v>
      </c>
      <c r="D228" s="131" t="s">
        <v>301</v>
      </c>
      <c r="E228" s="128" t="s">
        <v>610</v>
      </c>
      <c r="F228" s="257">
        <f>G228+J228</f>
        <v>26143</v>
      </c>
      <c r="G228" s="191">
        <v>0</v>
      </c>
      <c r="H228" s="191">
        <v>0</v>
      </c>
      <c r="I228" s="191">
        <v>0</v>
      </c>
      <c r="J228" s="191">
        <f>25000+1143</f>
        <v>26143</v>
      </c>
      <c r="K228" s="161">
        <f t="shared" si="45"/>
        <v>0</v>
      </c>
      <c r="L228" s="118">
        <f t="shared" si="47"/>
        <v>0</v>
      </c>
      <c r="M228" s="191">
        <v>0</v>
      </c>
      <c r="N228" s="191">
        <v>0</v>
      </c>
      <c r="O228" s="191">
        <v>0</v>
      </c>
      <c r="P228" s="191"/>
      <c r="Q228" s="161">
        <f t="shared" si="48"/>
        <v>26143</v>
      </c>
      <c r="R228" s="159"/>
      <c r="S228" s="159"/>
      <c r="T228" s="159"/>
      <c r="U228" s="159"/>
      <c r="V228" s="159"/>
      <c r="W228" s="159"/>
    </row>
    <row r="229" spans="1:23" ht="48">
      <c r="A229" s="100"/>
      <c r="B229" s="135">
        <v>3719620</v>
      </c>
      <c r="C229" s="132" t="s">
        <v>570</v>
      </c>
      <c r="D229" s="132" t="s">
        <v>301</v>
      </c>
      <c r="E229" s="117" t="s">
        <v>571</v>
      </c>
      <c r="F229" s="193">
        <f t="shared" si="46"/>
        <v>117500</v>
      </c>
      <c r="G229" s="165">
        <v>117500</v>
      </c>
      <c r="H229" s="165">
        <v>0</v>
      </c>
      <c r="I229" s="165">
        <v>0</v>
      </c>
      <c r="J229" s="165">
        <v>0</v>
      </c>
      <c r="K229" s="163">
        <f t="shared" si="45"/>
        <v>0</v>
      </c>
      <c r="L229" s="118">
        <f t="shared" si="47"/>
        <v>0</v>
      </c>
      <c r="M229" s="165">
        <v>0</v>
      </c>
      <c r="N229" s="165">
        <v>0</v>
      </c>
      <c r="O229" s="165">
        <v>0</v>
      </c>
      <c r="P229" s="165">
        <v>0</v>
      </c>
      <c r="Q229" s="163">
        <f t="shared" si="48"/>
        <v>117500</v>
      </c>
      <c r="R229" s="145"/>
      <c r="S229" s="145"/>
      <c r="T229" s="145"/>
      <c r="U229" s="145"/>
      <c r="V229" s="145"/>
      <c r="W229" s="145"/>
    </row>
    <row r="230" spans="1:23" ht="14.25">
      <c r="A230" s="100"/>
      <c r="B230" s="89"/>
      <c r="C230" s="90"/>
      <c r="D230" s="90"/>
      <c r="E230" s="8" t="s">
        <v>31</v>
      </c>
      <c r="F230" s="188">
        <f>F231</f>
        <v>100000</v>
      </c>
      <c r="G230" s="163">
        <f>G231</f>
        <v>0</v>
      </c>
      <c r="H230" s="163">
        <f>H231</f>
        <v>0</v>
      </c>
      <c r="I230" s="163">
        <f>I231</f>
        <v>0</v>
      </c>
      <c r="J230" s="163">
        <v>0</v>
      </c>
      <c r="K230" s="163">
        <f t="shared" si="45"/>
        <v>0</v>
      </c>
      <c r="L230" s="118">
        <f t="shared" si="47"/>
        <v>0</v>
      </c>
      <c r="M230" s="163">
        <f>M231</f>
        <v>0</v>
      </c>
      <c r="N230" s="163">
        <f>N231</f>
        <v>0</v>
      </c>
      <c r="O230" s="163">
        <f>O231</f>
        <v>0</v>
      </c>
      <c r="P230" s="163">
        <f>P231</f>
        <v>0</v>
      </c>
      <c r="Q230" s="163">
        <f t="shared" si="48"/>
        <v>100000</v>
      </c>
      <c r="R230" s="145"/>
      <c r="S230" s="145"/>
      <c r="T230" s="145"/>
      <c r="U230" s="145"/>
      <c r="V230" s="145"/>
      <c r="W230" s="145"/>
    </row>
    <row r="231" spans="1:23" ht="12.75">
      <c r="A231" s="100" t="s">
        <v>238</v>
      </c>
      <c r="B231" s="135">
        <v>3718700</v>
      </c>
      <c r="C231" s="132" t="s">
        <v>415</v>
      </c>
      <c r="D231" s="132" t="s">
        <v>236</v>
      </c>
      <c r="E231" s="117" t="s">
        <v>32</v>
      </c>
      <c r="F231" s="187">
        <v>100000</v>
      </c>
      <c r="G231" s="82">
        <v>0</v>
      </c>
      <c r="H231" s="82">
        <v>0</v>
      </c>
      <c r="I231" s="82">
        <v>0</v>
      </c>
      <c r="J231" s="82">
        <v>0</v>
      </c>
      <c r="K231" s="163">
        <f>M231+P231</f>
        <v>0</v>
      </c>
      <c r="L231" s="118">
        <f t="shared" si="47"/>
        <v>0</v>
      </c>
      <c r="M231" s="82">
        <v>0</v>
      </c>
      <c r="N231" s="82">
        <v>0</v>
      </c>
      <c r="O231" s="82">
        <v>0</v>
      </c>
      <c r="P231" s="82">
        <v>0</v>
      </c>
      <c r="Q231" s="163">
        <f t="shared" si="48"/>
        <v>100000</v>
      </c>
      <c r="R231" s="145"/>
      <c r="S231" s="145"/>
      <c r="T231" s="145"/>
      <c r="U231" s="145"/>
      <c r="V231" s="145"/>
      <c r="W231" s="145"/>
    </row>
    <row r="232" spans="1:17" s="76" customFormat="1" ht="13.5" customHeight="1">
      <c r="A232" s="101"/>
      <c r="B232" s="375" t="s">
        <v>20</v>
      </c>
      <c r="C232" s="375"/>
      <c r="D232" s="375"/>
      <c r="E232" s="375"/>
      <c r="F232" s="195">
        <f>F18+F37+F57+F129+F180+F183+F230</f>
        <v>228518573.35</v>
      </c>
      <c r="G232" s="195">
        <f>G18+G37+G57+G129+G180+G183+G230</f>
        <v>228392430.35</v>
      </c>
      <c r="H232" s="195">
        <f>H18+H37+H57+H129+H180+H183</f>
        <v>35833600</v>
      </c>
      <c r="I232" s="195">
        <f>I18+I37+I57+I129+I180+I183</f>
        <v>5484660</v>
      </c>
      <c r="J232" s="195">
        <f>J18+J37+J57+J129+J180+J183</f>
        <v>26143</v>
      </c>
      <c r="K232" s="252">
        <f>M232+P232</f>
        <v>11340677</v>
      </c>
      <c r="L232" s="195">
        <f>L18+L37+L57+L129+L180+L183+L230</f>
        <v>9946330.55</v>
      </c>
      <c r="M232" s="195">
        <f>M18+M37+M57+M129+M180+M183+M230</f>
        <v>1394346.45</v>
      </c>
      <c r="N232" s="195">
        <f>N18+N37+N57+N129+N180+N183+N230</f>
        <v>0</v>
      </c>
      <c r="O232" s="195">
        <f>O18+O37+O57+O129+O180+O183+O230</f>
        <v>12000</v>
      </c>
      <c r="P232" s="195">
        <f>P18+P37+P57+P129+P180+P183+P230</f>
        <v>9946330.55</v>
      </c>
      <c r="Q232" s="195">
        <f t="shared" si="48"/>
        <v>239859250.35</v>
      </c>
    </row>
    <row r="233" spans="1:5" ht="12.75">
      <c r="A233" s="30"/>
      <c r="B233" s="77"/>
      <c r="C233" s="115"/>
      <c r="D233" s="115"/>
      <c r="E233" s="115"/>
    </row>
    <row r="234" spans="1:14" ht="18.75">
      <c r="A234" s="30"/>
      <c r="B234" s="388" t="s">
        <v>90</v>
      </c>
      <c r="C234" s="388"/>
      <c r="D234" s="388"/>
      <c r="E234" s="388"/>
      <c r="F234" s="23" t="s">
        <v>211</v>
      </c>
      <c r="G234" s="23"/>
      <c r="H234" s="23"/>
      <c r="I234" s="23"/>
      <c r="J234" s="23"/>
      <c r="K234" s="26"/>
      <c r="L234" s="26"/>
      <c r="M234" s="23"/>
      <c r="N234" s="26" t="s">
        <v>643</v>
      </c>
    </row>
    <row r="235" spans="1:5" ht="12.75">
      <c r="A235" s="30"/>
      <c r="B235" s="115"/>
      <c r="C235" s="115"/>
      <c r="D235" s="115"/>
      <c r="E235" s="115"/>
    </row>
    <row r="236" spans="1:5" ht="12.75">
      <c r="A236" s="30"/>
      <c r="B236" s="115"/>
      <c r="C236" s="115"/>
      <c r="D236" s="115"/>
      <c r="E236" s="115"/>
    </row>
    <row r="237" spans="1:5" ht="12.75">
      <c r="A237" s="30"/>
      <c r="B237" s="115"/>
      <c r="C237" s="115"/>
      <c r="D237" s="115"/>
      <c r="E237" s="115"/>
    </row>
    <row r="238" spans="1:5" ht="12.75">
      <c r="A238" s="30"/>
      <c r="B238" s="115"/>
      <c r="C238" s="115"/>
      <c r="D238" s="115"/>
      <c r="E238" s="115"/>
    </row>
    <row r="239" spans="1:5" ht="12.75">
      <c r="A239" s="30"/>
      <c r="B239" s="115"/>
      <c r="C239" s="115"/>
      <c r="D239" s="115"/>
      <c r="E239" s="115"/>
    </row>
    <row r="240" spans="1:5" ht="12.75">
      <c r="A240" s="30"/>
      <c r="B240" s="115"/>
      <c r="C240" s="115"/>
      <c r="D240" s="115"/>
      <c r="E240" s="115"/>
    </row>
    <row r="241" spans="1:5" ht="12.75">
      <c r="A241" s="30"/>
      <c r="B241" s="115"/>
      <c r="C241" s="115"/>
      <c r="D241" s="115"/>
      <c r="E241" s="115"/>
    </row>
    <row r="242" spans="1:5" ht="12.75">
      <c r="A242" s="30"/>
      <c r="B242" s="115"/>
      <c r="C242" s="115"/>
      <c r="D242" s="115"/>
      <c r="E242" s="115"/>
    </row>
    <row r="243" spans="1:5" ht="12.75">
      <c r="A243" s="30"/>
      <c r="B243" s="115"/>
      <c r="C243" s="115"/>
      <c r="D243" s="115"/>
      <c r="E243" s="115"/>
    </row>
    <row r="244" spans="1:5" ht="12.75">
      <c r="A244" s="30"/>
      <c r="B244" s="115"/>
      <c r="C244" s="115"/>
      <c r="D244" s="115"/>
      <c r="E244" s="115"/>
    </row>
    <row r="245" spans="1:5" ht="12.75">
      <c r="A245" s="30"/>
      <c r="B245" s="115"/>
      <c r="C245" s="115"/>
      <c r="D245" s="115"/>
      <c r="E245" s="115"/>
    </row>
    <row r="246" spans="2:5" ht="12.75">
      <c r="B246" s="115"/>
      <c r="C246" s="115"/>
      <c r="D246" s="115"/>
      <c r="E246" s="115"/>
    </row>
    <row r="247" spans="2:5" ht="12.75">
      <c r="B247" s="115"/>
      <c r="C247" s="115"/>
      <c r="D247" s="115"/>
      <c r="E247" s="115"/>
    </row>
    <row r="248" spans="2:5" ht="12.75">
      <c r="B248" s="115"/>
      <c r="C248" s="115"/>
      <c r="D248" s="115"/>
      <c r="E248" s="115"/>
    </row>
    <row r="249" spans="2:5" ht="12.75">
      <c r="B249" s="115"/>
      <c r="C249" s="115"/>
      <c r="D249" s="115"/>
      <c r="E249" s="115"/>
    </row>
    <row r="250" spans="2:5" ht="12.75">
      <c r="B250" s="115"/>
      <c r="C250" s="115"/>
      <c r="D250" s="115"/>
      <c r="E250" s="115"/>
    </row>
    <row r="251" spans="2:5" ht="12.75">
      <c r="B251" s="115"/>
      <c r="C251" s="115"/>
      <c r="D251" s="115"/>
      <c r="E251" s="115"/>
    </row>
    <row r="252" spans="2:5" ht="12.75">
      <c r="B252" s="115"/>
      <c r="C252" s="115"/>
      <c r="D252" s="115"/>
      <c r="E252" s="115"/>
    </row>
    <row r="253" spans="2:5" ht="12.75">
      <c r="B253" s="115"/>
      <c r="C253" s="115"/>
      <c r="D253" s="115"/>
      <c r="E253" s="115"/>
    </row>
    <row r="254" spans="2:5" ht="12.75">
      <c r="B254" s="115"/>
      <c r="C254" s="115"/>
      <c r="D254" s="115"/>
      <c r="E254" s="115"/>
    </row>
    <row r="255" spans="2:5" ht="12.75">
      <c r="B255" s="115"/>
      <c r="C255" s="115"/>
      <c r="D255" s="115"/>
      <c r="E255" s="115"/>
    </row>
    <row r="256" spans="2:5" ht="12.75">
      <c r="B256" s="115"/>
      <c r="C256" s="115"/>
      <c r="D256" s="115"/>
      <c r="E256" s="115"/>
    </row>
    <row r="257" spans="2:5" ht="12.75">
      <c r="B257" s="115"/>
      <c r="C257" s="115"/>
      <c r="D257" s="115"/>
      <c r="E257" s="115"/>
    </row>
    <row r="258" spans="2:5" ht="12.75">
      <c r="B258" s="115"/>
      <c r="C258" s="115"/>
      <c r="D258" s="115"/>
      <c r="E258" s="115"/>
    </row>
    <row r="259" spans="2:5" ht="12.75">
      <c r="B259" s="115"/>
      <c r="C259" s="115"/>
      <c r="D259" s="115"/>
      <c r="E259" s="115"/>
    </row>
    <row r="260" spans="2:5" ht="12.75">
      <c r="B260" s="115"/>
      <c r="C260" s="115"/>
      <c r="D260" s="115"/>
      <c r="E260" s="115"/>
    </row>
    <row r="261" spans="2:5" ht="12.75">
      <c r="B261" s="115"/>
      <c r="C261" s="115"/>
      <c r="D261" s="115"/>
      <c r="E261" s="115"/>
    </row>
    <row r="262" spans="2:5" ht="12.75">
      <c r="B262" s="115"/>
      <c r="C262" s="115"/>
      <c r="D262" s="115"/>
      <c r="E262" s="115"/>
    </row>
    <row r="263" spans="2:5" ht="12.75">
      <c r="B263" s="115"/>
      <c r="C263" s="115"/>
      <c r="D263" s="115"/>
      <c r="E263" s="115"/>
    </row>
    <row r="264" spans="2:5" ht="12.75">
      <c r="B264" s="115"/>
      <c r="C264" s="115"/>
      <c r="D264" s="115"/>
      <c r="E264" s="115"/>
    </row>
    <row r="265" spans="2:5" ht="12.75">
      <c r="B265" s="115"/>
      <c r="C265" s="115"/>
      <c r="D265" s="115"/>
      <c r="E265" s="115"/>
    </row>
    <row r="266" spans="2:5" ht="12.75">
      <c r="B266" s="115"/>
      <c r="C266" s="115"/>
      <c r="D266" s="115"/>
      <c r="E266" s="115"/>
    </row>
    <row r="267" spans="2:5" ht="12.75">
      <c r="B267" s="115"/>
      <c r="C267" s="115"/>
      <c r="D267" s="115"/>
      <c r="E267" s="115"/>
    </row>
    <row r="268" spans="2:5" ht="12.75">
      <c r="B268" s="115"/>
      <c r="C268" s="115"/>
      <c r="D268" s="115"/>
      <c r="E268" s="115"/>
    </row>
    <row r="269" spans="2:5" ht="12.75">
      <c r="B269" s="115"/>
      <c r="C269" s="115"/>
      <c r="D269" s="115"/>
      <c r="E269" s="115"/>
    </row>
    <row r="270" spans="2:5" ht="12.75">
      <c r="B270" s="115"/>
      <c r="C270" s="115"/>
      <c r="D270" s="115"/>
      <c r="E270" s="115"/>
    </row>
    <row r="271" spans="2:5" ht="12.75">
      <c r="B271" s="115"/>
      <c r="C271" s="115"/>
      <c r="D271" s="115"/>
      <c r="E271" s="115"/>
    </row>
    <row r="272" spans="2:5" ht="12.75">
      <c r="B272" s="115"/>
      <c r="C272" s="115"/>
      <c r="D272" s="115"/>
      <c r="E272" s="115"/>
    </row>
    <row r="273" spans="2:5" ht="12.75">
      <c r="B273" s="115"/>
      <c r="C273" s="115"/>
      <c r="D273" s="115"/>
      <c r="E273" s="115"/>
    </row>
    <row r="274" spans="2:5" ht="12.75">
      <c r="B274" s="115"/>
      <c r="C274" s="115"/>
      <c r="D274" s="115"/>
      <c r="E274" s="115"/>
    </row>
    <row r="275" spans="2:5" ht="12.75">
      <c r="B275" s="115"/>
      <c r="C275" s="115"/>
      <c r="D275" s="115"/>
      <c r="E275" s="115"/>
    </row>
    <row r="276" spans="2:5" ht="12.75">
      <c r="B276" s="115"/>
      <c r="C276" s="115"/>
      <c r="D276" s="115"/>
      <c r="E276" s="115"/>
    </row>
    <row r="277" spans="2:5" ht="12.75">
      <c r="B277" s="115"/>
      <c r="C277" s="115"/>
      <c r="D277" s="115"/>
      <c r="E277" s="115"/>
    </row>
    <row r="278" spans="2:5" ht="12.75">
      <c r="B278" s="115"/>
      <c r="C278" s="115"/>
      <c r="D278" s="115"/>
      <c r="E278" s="115"/>
    </row>
    <row r="279" spans="2:5" ht="12.75">
      <c r="B279" s="115"/>
      <c r="C279" s="115"/>
      <c r="D279" s="115"/>
      <c r="E279" s="115"/>
    </row>
    <row r="280" spans="2:5" ht="12.75">
      <c r="B280" s="115"/>
      <c r="C280" s="115"/>
      <c r="D280" s="115"/>
      <c r="E280" s="115"/>
    </row>
    <row r="281" spans="2:5" ht="12.75">
      <c r="B281" s="115"/>
      <c r="C281" s="115"/>
      <c r="D281" s="115"/>
      <c r="E281" s="115"/>
    </row>
    <row r="282" spans="2:5" ht="12.75">
      <c r="B282" s="115"/>
      <c r="C282" s="115"/>
      <c r="D282" s="115"/>
      <c r="E282" s="115"/>
    </row>
    <row r="283" spans="2:5" ht="12.75">
      <c r="B283" s="115"/>
      <c r="C283" s="115"/>
      <c r="D283" s="115"/>
      <c r="E283" s="115"/>
    </row>
    <row r="284" spans="2:5" ht="12.75">
      <c r="B284" s="115"/>
      <c r="C284" s="115"/>
      <c r="D284" s="115"/>
      <c r="E284" s="115"/>
    </row>
    <row r="285" spans="2:5" ht="12.75">
      <c r="B285" s="115"/>
      <c r="C285" s="115"/>
      <c r="D285" s="115"/>
      <c r="E285" s="115"/>
    </row>
  </sheetData>
  <sheetProtection/>
  <mergeCells count="54">
    <mergeCell ref="B234:E234"/>
    <mergeCell ref="P13:P16"/>
    <mergeCell ref="K13:K16"/>
    <mergeCell ref="M13:M16"/>
    <mergeCell ref="C12:C16"/>
    <mergeCell ref="G13:G16"/>
    <mergeCell ref="F12:J12"/>
    <mergeCell ref="B127:D127"/>
    <mergeCell ref="B42:D42"/>
    <mergeCell ref="B41:D41"/>
    <mergeCell ref="N15:N16"/>
    <mergeCell ref="O15:O16"/>
    <mergeCell ref="A12:A16"/>
    <mergeCell ref="I15:I16"/>
    <mergeCell ref="E12:E14"/>
    <mergeCell ref="L13:L16"/>
    <mergeCell ref="B102:D102"/>
    <mergeCell ref="B57:D57"/>
    <mergeCell ref="B113:D113"/>
    <mergeCell ref="B125:D125"/>
    <mergeCell ref="B117:D117"/>
    <mergeCell ref="B118:D118"/>
    <mergeCell ref="B115:D115"/>
    <mergeCell ref="B124:D124"/>
    <mergeCell ref="B232:E232"/>
    <mergeCell ref="B12:B16"/>
    <mergeCell ref="H15:H16"/>
    <mergeCell ref="B119:D119"/>
    <mergeCell ref="B183:D183"/>
    <mergeCell ref="B180:D180"/>
    <mergeCell ref="B99:D99"/>
    <mergeCell ref="B111:D111"/>
    <mergeCell ref="B112:D112"/>
    <mergeCell ref="B129:D129"/>
    <mergeCell ref="P1:Q1"/>
    <mergeCell ref="P2:Q2"/>
    <mergeCell ref="Q12:Q16"/>
    <mergeCell ref="B6:Q6"/>
    <mergeCell ref="B7:Q7"/>
    <mergeCell ref="F13:F16"/>
    <mergeCell ref="H13:I14"/>
    <mergeCell ref="N13:O14"/>
    <mergeCell ref="P3:Q3"/>
    <mergeCell ref="K12:P12"/>
    <mergeCell ref="B176:D176"/>
    <mergeCell ref="J13:J16"/>
    <mergeCell ref="D12:D16"/>
    <mergeCell ref="B18:D18"/>
    <mergeCell ref="B20:D20"/>
    <mergeCell ref="B37:D37"/>
    <mergeCell ref="E15:E16"/>
    <mergeCell ref="B172:D172"/>
    <mergeCell ref="B24:D24"/>
    <mergeCell ref="B101:D101"/>
  </mergeCells>
  <printOptions/>
  <pageMargins left="0.1968503937007874" right="0" top="0.1968503937007874" bottom="0" header="0" footer="0"/>
  <pageSetup horizontalDpi="600" verticalDpi="600" orientation="landscape" paperSize="9" scale="72" r:id="rId1"/>
  <rowBreaks count="3" manualBreakCount="3">
    <brk id="63" min="1" max="16" man="1"/>
    <brk id="155" min="1" max="16" man="1"/>
    <brk id="171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64"/>
  <sheetViews>
    <sheetView zoomScale="120" zoomScaleNormal="120" zoomScalePageLayoutView="0" workbookViewId="0" topLeftCell="A1">
      <selection activeCell="K72" sqref="K72"/>
    </sheetView>
  </sheetViews>
  <sheetFormatPr defaultColWidth="9.00390625" defaultRowHeight="12.75"/>
  <cols>
    <col min="1" max="1" width="9.125" style="31" customWidth="1"/>
    <col min="2" max="2" width="4.375" style="31" customWidth="1"/>
    <col min="3" max="3" width="31.375" style="31" customWidth="1"/>
    <col min="4" max="4" width="0.12890625" style="31" hidden="1" customWidth="1"/>
    <col min="5" max="5" width="14.375" style="31" hidden="1" customWidth="1"/>
    <col min="6" max="7" width="14.75390625" style="31" customWidth="1"/>
    <col min="8" max="8" width="11.375" style="31" customWidth="1"/>
    <col min="9" max="9" width="11.00390625" style="31" customWidth="1"/>
    <col min="10" max="10" width="12.25390625" style="31" hidden="1" customWidth="1"/>
    <col min="11" max="11" width="13.375" style="31" customWidth="1"/>
    <col min="12" max="16384" width="9.125" style="31" customWidth="1"/>
  </cols>
  <sheetData>
    <row r="1" spans="7:11" ht="18.75">
      <c r="G1" s="437" t="s">
        <v>644</v>
      </c>
      <c r="H1" s="437"/>
      <c r="I1" s="437"/>
      <c r="J1" s="437"/>
      <c r="K1" s="437"/>
    </row>
    <row r="2" spans="7:11" ht="18.75">
      <c r="G2" s="437" t="s">
        <v>99</v>
      </c>
      <c r="H2" s="437"/>
      <c r="I2" s="437"/>
      <c r="J2" s="437"/>
      <c r="K2" s="437"/>
    </row>
    <row r="3" spans="7:11" ht="18.75">
      <c r="G3" s="437" t="s">
        <v>645</v>
      </c>
      <c r="H3" s="437"/>
      <c r="I3" s="437"/>
      <c r="J3" s="437"/>
      <c r="K3" s="437"/>
    </row>
    <row r="5" spans="1:11" s="32" customFormat="1" ht="30.75" customHeight="1">
      <c r="A5" s="63"/>
      <c r="B5" s="395" t="s">
        <v>595</v>
      </c>
      <c r="C5" s="395"/>
      <c r="D5" s="395"/>
      <c r="E5" s="395"/>
      <c r="F5" s="395"/>
      <c r="G5" s="395"/>
      <c r="H5" s="395"/>
      <c r="I5" s="395"/>
      <c r="J5" s="395"/>
      <c r="K5" s="395"/>
    </row>
    <row r="6" s="33" customFormat="1" ht="15" hidden="1">
      <c r="K6" s="47"/>
    </row>
    <row r="7" s="33" customFormat="1" ht="6" customHeight="1" hidden="1">
      <c r="K7" s="47"/>
    </row>
    <row r="8" spans="2:11" s="34" customFormat="1" ht="22.5" customHeight="1">
      <c r="B8" s="401"/>
      <c r="C8" s="401" t="s">
        <v>212</v>
      </c>
      <c r="D8" s="401" t="s">
        <v>220</v>
      </c>
      <c r="E8" s="401"/>
      <c r="F8" s="401" t="s">
        <v>221</v>
      </c>
      <c r="G8" s="401"/>
      <c r="H8" s="401"/>
      <c r="I8" s="401"/>
      <c r="J8" s="401"/>
      <c r="K8" s="401"/>
    </row>
    <row r="9" spans="2:11" s="34" customFormat="1" ht="20.25" customHeight="1">
      <c r="B9" s="401"/>
      <c r="C9" s="401"/>
      <c r="D9" s="402"/>
      <c r="E9" s="402"/>
      <c r="F9" s="396" t="s">
        <v>222</v>
      </c>
      <c r="G9" s="397"/>
      <c r="H9" s="397"/>
      <c r="I9" s="398"/>
      <c r="J9" s="402" t="s">
        <v>223</v>
      </c>
      <c r="K9" s="402" t="s">
        <v>4</v>
      </c>
    </row>
    <row r="10" spans="2:11" s="34" customFormat="1" ht="36" customHeight="1">
      <c r="B10" s="401"/>
      <c r="C10" s="401"/>
      <c r="D10" s="403"/>
      <c r="E10" s="403"/>
      <c r="F10" s="52" t="s">
        <v>240</v>
      </c>
      <c r="G10" s="52" t="s">
        <v>241</v>
      </c>
      <c r="H10" s="52" t="s">
        <v>242</v>
      </c>
      <c r="I10" s="52" t="s">
        <v>316</v>
      </c>
      <c r="J10" s="404"/>
      <c r="K10" s="403"/>
    </row>
    <row r="11" spans="2:11" s="34" customFormat="1" ht="16.5" customHeight="1" hidden="1">
      <c r="B11" s="56">
        <v>1</v>
      </c>
      <c r="C11" s="57" t="s">
        <v>213</v>
      </c>
      <c r="D11" s="49"/>
      <c r="E11" s="48"/>
      <c r="F11" s="53"/>
      <c r="G11" s="54"/>
      <c r="H11" s="54"/>
      <c r="I11" s="54"/>
      <c r="J11" s="53"/>
      <c r="K11" s="53">
        <f>F11+G11+I11+J11</f>
        <v>0</v>
      </c>
    </row>
    <row r="12" spans="2:11" s="34" customFormat="1" ht="15.75" customHeight="1" hidden="1">
      <c r="B12" s="56">
        <f>B11+1</f>
        <v>2</v>
      </c>
      <c r="C12" s="57" t="s">
        <v>49</v>
      </c>
      <c r="D12" s="49"/>
      <c r="E12" s="48"/>
      <c r="F12" s="53"/>
      <c r="G12" s="54"/>
      <c r="H12" s="54"/>
      <c r="I12" s="54"/>
      <c r="J12" s="53"/>
      <c r="K12" s="53">
        <f>F12+G12+I12+J12</f>
        <v>0</v>
      </c>
    </row>
    <row r="13" spans="2:11" s="34" customFormat="1" ht="15.75" customHeight="1" hidden="1">
      <c r="B13" s="56">
        <f>B12+1</f>
        <v>3</v>
      </c>
      <c r="C13" s="65" t="s">
        <v>214</v>
      </c>
      <c r="D13" s="66"/>
      <c r="E13" s="67"/>
      <c r="F13" s="68"/>
      <c r="G13" s="69"/>
      <c r="H13" s="69"/>
      <c r="I13" s="69"/>
      <c r="J13" s="68"/>
      <c r="K13" s="68">
        <f>F13+G13+I13+J13</f>
        <v>0</v>
      </c>
    </row>
    <row r="14" spans="2:11" s="34" customFormat="1" ht="15.75" customHeight="1">
      <c r="B14" s="64">
        <v>1</v>
      </c>
      <c r="C14" s="57" t="s">
        <v>50</v>
      </c>
      <c r="D14" s="49"/>
      <c r="E14" s="48"/>
      <c r="F14" s="53">
        <v>0</v>
      </c>
      <c r="G14" s="53">
        <v>134600</v>
      </c>
      <c r="H14" s="54">
        <v>0</v>
      </c>
      <c r="I14" s="54">
        <v>0</v>
      </c>
      <c r="J14" s="53"/>
      <c r="K14" s="53">
        <f>F14+G14+I14+J14+H14</f>
        <v>134600</v>
      </c>
    </row>
    <row r="15" spans="2:11" s="34" customFormat="1" ht="15.75" customHeight="1" hidden="1">
      <c r="B15" s="64"/>
      <c r="C15" s="57" t="s">
        <v>51</v>
      </c>
      <c r="D15" s="49"/>
      <c r="E15" s="48"/>
      <c r="F15" s="53"/>
      <c r="G15" s="53"/>
      <c r="H15" s="54"/>
      <c r="I15" s="54"/>
      <c r="J15" s="53"/>
      <c r="K15" s="53">
        <f aca="true" t="shared" si="0" ref="K15:K56">F15+G15+I15+J15+H15</f>
        <v>0</v>
      </c>
    </row>
    <row r="16" spans="2:11" s="34" customFormat="1" ht="15.75" customHeight="1">
      <c r="B16" s="64">
        <v>2</v>
      </c>
      <c r="C16" s="57" t="s">
        <v>52</v>
      </c>
      <c r="D16" s="49"/>
      <c r="E16" s="48"/>
      <c r="F16" s="53">
        <v>307300</v>
      </c>
      <c r="G16" s="53">
        <v>95500</v>
      </c>
      <c r="H16" s="54">
        <v>0</v>
      </c>
      <c r="I16" s="54">
        <v>0</v>
      </c>
      <c r="J16" s="53"/>
      <c r="K16" s="53">
        <f t="shared" si="0"/>
        <v>402800</v>
      </c>
    </row>
    <row r="17" spans="2:11" s="34" customFormat="1" ht="15.75" customHeight="1" hidden="1">
      <c r="B17" s="64"/>
      <c r="C17" s="57" t="s">
        <v>53</v>
      </c>
      <c r="D17" s="49"/>
      <c r="E17" s="48"/>
      <c r="F17" s="53"/>
      <c r="G17" s="53"/>
      <c r="H17" s="54"/>
      <c r="I17" s="54"/>
      <c r="J17" s="53"/>
      <c r="K17" s="53">
        <f t="shared" si="0"/>
        <v>0</v>
      </c>
    </row>
    <row r="18" spans="2:11" s="34" customFormat="1" ht="15.75" customHeight="1" hidden="1">
      <c r="B18" s="64"/>
      <c r="C18" s="57" t="s">
        <v>54</v>
      </c>
      <c r="D18" s="49"/>
      <c r="E18" s="48"/>
      <c r="F18" s="53"/>
      <c r="G18" s="53"/>
      <c r="H18" s="54"/>
      <c r="I18" s="54"/>
      <c r="J18" s="53"/>
      <c r="K18" s="53">
        <f t="shared" si="0"/>
        <v>0</v>
      </c>
    </row>
    <row r="19" spans="2:11" s="34" customFormat="1" ht="15.75" customHeight="1" hidden="1">
      <c r="B19" s="64"/>
      <c r="C19" s="57" t="s">
        <v>55</v>
      </c>
      <c r="D19" s="49"/>
      <c r="E19" s="48"/>
      <c r="F19" s="53"/>
      <c r="G19" s="53"/>
      <c r="H19" s="54"/>
      <c r="I19" s="54"/>
      <c r="J19" s="53"/>
      <c r="K19" s="53">
        <f t="shared" si="0"/>
        <v>0</v>
      </c>
    </row>
    <row r="20" spans="2:11" s="34" customFormat="1" ht="15.75" customHeight="1" hidden="1">
      <c r="B20" s="64"/>
      <c r="C20" s="57" t="s">
        <v>56</v>
      </c>
      <c r="D20" s="49"/>
      <c r="E20" s="48"/>
      <c r="F20" s="53"/>
      <c r="G20" s="53"/>
      <c r="H20" s="54"/>
      <c r="I20" s="54"/>
      <c r="J20" s="53"/>
      <c r="K20" s="53">
        <f t="shared" si="0"/>
        <v>0</v>
      </c>
    </row>
    <row r="21" spans="2:11" s="34" customFormat="1" ht="15.75" customHeight="1">
      <c r="B21" s="64">
        <v>3</v>
      </c>
      <c r="C21" s="57" t="s">
        <v>57</v>
      </c>
      <c r="D21" s="49"/>
      <c r="E21" s="48"/>
      <c r="F21" s="53">
        <v>1039500</v>
      </c>
      <c r="G21" s="53">
        <v>86900</v>
      </c>
      <c r="H21" s="54">
        <v>0</v>
      </c>
      <c r="I21" s="54">
        <v>0</v>
      </c>
      <c r="J21" s="53"/>
      <c r="K21" s="53">
        <f t="shared" si="0"/>
        <v>1126400</v>
      </c>
    </row>
    <row r="22" spans="2:11" s="34" customFormat="1" ht="15.75" customHeight="1" hidden="1">
      <c r="B22" s="64"/>
      <c r="C22" s="57" t="s">
        <v>58</v>
      </c>
      <c r="D22" s="49"/>
      <c r="E22" s="48"/>
      <c r="F22" s="53"/>
      <c r="G22" s="53"/>
      <c r="H22" s="54"/>
      <c r="I22" s="54"/>
      <c r="J22" s="53"/>
      <c r="K22" s="53">
        <f t="shared" si="0"/>
        <v>0</v>
      </c>
    </row>
    <row r="23" spans="2:11" s="34" customFormat="1" ht="15.75" customHeight="1" hidden="1">
      <c r="B23" s="64"/>
      <c r="C23" s="57" t="s">
        <v>59</v>
      </c>
      <c r="D23" s="49"/>
      <c r="E23" s="48"/>
      <c r="F23" s="53"/>
      <c r="G23" s="53"/>
      <c r="H23" s="54"/>
      <c r="I23" s="54"/>
      <c r="J23" s="53"/>
      <c r="K23" s="53">
        <f t="shared" si="0"/>
        <v>0</v>
      </c>
    </row>
    <row r="24" spans="2:11" s="34" customFormat="1" ht="15.75" customHeight="1">
      <c r="B24" s="64">
        <v>4</v>
      </c>
      <c r="C24" s="57" t="s">
        <v>60</v>
      </c>
      <c r="D24" s="49"/>
      <c r="E24" s="48"/>
      <c r="F24" s="53">
        <v>2032200</v>
      </c>
      <c r="G24" s="53">
        <v>306200</v>
      </c>
      <c r="H24" s="54">
        <v>0</v>
      </c>
      <c r="I24" s="54">
        <v>0</v>
      </c>
      <c r="J24" s="53"/>
      <c r="K24" s="53">
        <f t="shared" si="0"/>
        <v>2338400</v>
      </c>
    </row>
    <row r="25" spans="2:11" s="34" customFormat="1" ht="15.75" customHeight="1" hidden="1">
      <c r="B25" s="64"/>
      <c r="C25" s="57" t="s">
        <v>61</v>
      </c>
      <c r="D25" s="49"/>
      <c r="E25" s="48"/>
      <c r="F25" s="53"/>
      <c r="G25" s="53"/>
      <c r="H25" s="54"/>
      <c r="I25" s="54"/>
      <c r="J25" s="53"/>
      <c r="K25" s="53">
        <f t="shared" si="0"/>
        <v>0</v>
      </c>
    </row>
    <row r="26" spans="2:11" s="34" customFormat="1" ht="15.75" customHeight="1" hidden="1">
      <c r="B26" s="64">
        <v>5</v>
      </c>
      <c r="C26" s="57" t="s">
        <v>215</v>
      </c>
      <c r="D26" s="49"/>
      <c r="E26" s="48"/>
      <c r="F26" s="53"/>
      <c r="G26" s="53"/>
      <c r="H26" s="54"/>
      <c r="I26" s="54"/>
      <c r="J26" s="53"/>
      <c r="K26" s="53">
        <f t="shared" si="0"/>
        <v>0</v>
      </c>
    </row>
    <row r="27" spans="2:11" s="34" customFormat="1" ht="15.75" customHeight="1">
      <c r="B27" s="64">
        <v>5</v>
      </c>
      <c r="C27" s="57" t="s">
        <v>62</v>
      </c>
      <c r="D27" s="49"/>
      <c r="E27" s="48"/>
      <c r="F27" s="53">
        <v>985200</v>
      </c>
      <c r="G27" s="53">
        <v>191100</v>
      </c>
      <c r="H27" s="54">
        <v>0</v>
      </c>
      <c r="I27" s="54">
        <v>0</v>
      </c>
      <c r="J27" s="53"/>
      <c r="K27" s="53">
        <f t="shared" si="0"/>
        <v>1176300</v>
      </c>
    </row>
    <row r="28" spans="2:11" s="34" customFormat="1" ht="15.75" customHeight="1">
      <c r="B28" s="64">
        <v>6</v>
      </c>
      <c r="C28" s="57" t="s">
        <v>63</v>
      </c>
      <c r="D28" s="49"/>
      <c r="E28" s="48"/>
      <c r="F28" s="53">
        <f>710800-139400</f>
        <v>571400</v>
      </c>
      <c r="G28" s="53">
        <v>95500</v>
      </c>
      <c r="H28" s="53">
        <f>400000+200000+35000</f>
        <v>635000</v>
      </c>
      <c r="I28" s="53">
        <v>0</v>
      </c>
      <c r="J28" s="53"/>
      <c r="K28" s="53">
        <f t="shared" si="0"/>
        <v>1301900</v>
      </c>
    </row>
    <row r="29" spans="2:11" s="34" customFormat="1" ht="15.75" customHeight="1" hidden="1">
      <c r="B29" s="64"/>
      <c r="C29" s="57" t="s">
        <v>216</v>
      </c>
      <c r="D29" s="49"/>
      <c r="E29" s="48"/>
      <c r="F29" s="53"/>
      <c r="G29" s="53"/>
      <c r="H29" s="54"/>
      <c r="I29" s="54"/>
      <c r="J29" s="53"/>
      <c r="K29" s="53">
        <f t="shared" si="0"/>
        <v>0</v>
      </c>
    </row>
    <row r="30" spans="2:11" s="34" customFormat="1" ht="15.75" customHeight="1" hidden="1">
      <c r="B30" s="64">
        <v>8</v>
      </c>
      <c r="C30" s="57"/>
      <c r="D30" s="49"/>
      <c r="E30" s="48"/>
      <c r="F30" s="53"/>
      <c r="G30" s="53"/>
      <c r="H30" s="54"/>
      <c r="I30" s="54"/>
      <c r="J30" s="53"/>
      <c r="K30" s="53">
        <f t="shared" si="0"/>
        <v>0</v>
      </c>
    </row>
    <row r="31" spans="2:11" s="34" customFormat="1" ht="15.75" customHeight="1" hidden="1">
      <c r="B31" s="64"/>
      <c r="C31" s="57" t="s">
        <v>64</v>
      </c>
      <c r="D31" s="49"/>
      <c r="E31" s="48"/>
      <c r="F31" s="53"/>
      <c r="G31" s="53"/>
      <c r="H31" s="54"/>
      <c r="I31" s="54"/>
      <c r="J31" s="53"/>
      <c r="K31" s="53">
        <f t="shared" si="0"/>
        <v>0</v>
      </c>
    </row>
    <row r="32" spans="2:11" s="34" customFormat="1" ht="15.75" customHeight="1">
      <c r="B32" s="64">
        <v>7</v>
      </c>
      <c r="C32" s="57" t="s">
        <v>323</v>
      </c>
      <c r="D32" s="49"/>
      <c r="E32" s="48"/>
      <c r="F32" s="53">
        <v>692100</v>
      </c>
      <c r="G32" s="53">
        <v>95600</v>
      </c>
      <c r="H32" s="54">
        <v>0</v>
      </c>
      <c r="I32" s="54">
        <v>0</v>
      </c>
      <c r="J32" s="53"/>
      <c r="K32" s="53">
        <f t="shared" si="0"/>
        <v>787700</v>
      </c>
    </row>
    <row r="33" spans="2:11" s="34" customFormat="1" ht="15.75" customHeight="1" hidden="1">
      <c r="B33" s="64"/>
      <c r="C33" s="57" t="s">
        <v>65</v>
      </c>
      <c r="D33" s="49"/>
      <c r="E33" s="48"/>
      <c r="F33" s="53"/>
      <c r="G33" s="53"/>
      <c r="H33" s="54"/>
      <c r="I33" s="54"/>
      <c r="J33" s="53"/>
      <c r="K33" s="53">
        <f t="shared" si="0"/>
        <v>0</v>
      </c>
    </row>
    <row r="34" spans="2:11" s="34" customFormat="1" ht="15.75" customHeight="1" hidden="1">
      <c r="B34" s="64"/>
      <c r="C34" s="57" t="s">
        <v>66</v>
      </c>
      <c r="D34" s="49"/>
      <c r="E34" s="48"/>
      <c r="F34" s="53"/>
      <c r="G34" s="53"/>
      <c r="H34" s="54"/>
      <c r="I34" s="54"/>
      <c r="J34" s="53"/>
      <c r="K34" s="53">
        <f t="shared" si="0"/>
        <v>0</v>
      </c>
    </row>
    <row r="35" spans="2:11" s="34" customFormat="1" ht="15.75" customHeight="1" hidden="1">
      <c r="B35" s="64"/>
      <c r="C35" s="57" t="s">
        <v>67</v>
      </c>
      <c r="D35" s="49"/>
      <c r="E35" s="48"/>
      <c r="F35" s="53"/>
      <c r="G35" s="53"/>
      <c r="H35" s="54"/>
      <c r="I35" s="54"/>
      <c r="J35" s="53"/>
      <c r="K35" s="53">
        <f t="shared" si="0"/>
        <v>0</v>
      </c>
    </row>
    <row r="36" spans="2:11" s="34" customFormat="1" ht="15.75" customHeight="1">
      <c r="B36" s="64">
        <v>8</v>
      </c>
      <c r="C36" s="57" t="s">
        <v>68</v>
      </c>
      <c r="D36" s="49"/>
      <c r="E36" s="48"/>
      <c r="F36" s="53">
        <v>876300</v>
      </c>
      <c r="G36" s="53">
        <v>116100</v>
      </c>
      <c r="H36" s="54">
        <v>0</v>
      </c>
      <c r="I36" s="54">
        <v>0</v>
      </c>
      <c r="J36" s="53"/>
      <c r="K36" s="53">
        <f t="shared" si="0"/>
        <v>992400</v>
      </c>
    </row>
    <row r="37" spans="2:11" s="34" customFormat="1" ht="15.75" customHeight="1" hidden="1">
      <c r="B37" s="64"/>
      <c r="C37" s="57" t="s">
        <v>69</v>
      </c>
      <c r="D37" s="49"/>
      <c r="E37" s="48"/>
      <c r="F37" s="53"/>
      <c r="G37" s="53"/>
      <c r="H37" s="54"/>
      <c r="I37" s="54"/>
      <c r="J37" s="53"/>
      <c r="K37" s="53">
        <f t="shared" si="0"/>
        <v>0</v>
      </c>
    </row>
    <row r="38" spans="2:11" s="34" customFormat="1" ht="15.75" customHeight="1" hidden="1">
      <c r="B38" s="64"/>
      <c r="C38" s="57" t="s">
        <v>70</v>
      </c>
      <c r="D38" s="49"/>
      <c r="E38" s="48"/>
      <c r="F38" s="53"/>
      <c r="G38" s="53"/>
      <c r="H38" s="54"/>
      <c r="I38" s="54"/>
      <c r="J38" s="53"/>
      <c r="K38" s="53">
        <f t="shared" si="0"/>
        <v>0</v>
      </c>
    </row>
    <row r="39" spans="2:11" s="34" customFormat="1" ht="15.75" customHeight="1" hidden="1">
      <c r="B39" s="64"/>
      <c r="C39" s="57" t="s">
        <v>217</v>
      </c>
      <c r="D39" s="49"/>
      <c r="E39" s="48"/>
      <c r="F39" s="53"/>
      <c r="G39" s="53"/>
      <c r="H39" s="54"/>
      <c r="I39" s="54"/>
      <c r="J39" s="53"/>
      <c r="K39" s="53">
        <f t="shared" si="0"/>
        <v>0</v>
      </c>
    </row>
    <row r="40" spans="2:11" s="34" customFormat="1" ht="15.75" customHeight="1" hidden="1">
      <c r="B40" s="64"/>
      <c r="C40" s="57" t="s">
        <v>71</v>
      </c>
      <c r="D40" s="49"/>
      <c r="E40" s="48"/>
      <c r="F40" s="53"/>
      <c r="G40" s="53"/>
      <c r="H40" s="54"/>
      <c r="I40" s="54"/>
      <c r="J40" s="53"/>
      <c r="K40" s="53">
        <f t="shared" si="0"/>
        <v>0</v>
      </c>
    </row>
    <row r="41" spans="2:11" s="34" customFormat="1" ht="15.75" customHeight="1" hidden="1">
      <c r="B41" s="64"/>
      <c r="C41" s="57" t="s">
        <v>72</v>
      </c>
      <c r="D41" s="49"/>
      <c r="E41" s="48"/>
      <c r="F41" s="53"/>
      <c r="G41" s="53"/>
      <c r="H41" s="54"/>
      <c r="I41" s="54"/>
      <c r="J41" s="53"/>
      <c r="K41" s="53">
        <f t="shared" si="0"/>
        <v>0</v>
      </c>
    </row>
    <row r="42" spans="2:11" s="34" customFormat="1" ht="15.75" customHeight="1" hidden="1">
      <c r="B42" s="64"/>
      <c r="C42" s="57" t="s">
        <v>73</v>
      </c>
      <c r="D42" s="49"/>
      <c r="E42" s="48"/>
      <c r="F42" s="53"/>
      <c r="G42" s="53"/>
      <c r="H42" s="54"/>
      <c r="I42" s="54"/>
      <c r="J42" s="53"/>
      <c r="K42" s="53">
        <f t="shared" si="0"/>
        <v>0</v>
      </c>
    </row>
    <row r="43" spans="2:11" s="34" customFormat="1" ht="15.75" customHeight="1" hidden="1">
      <c r="B43" s="64"/>
      <c r="C43" s="57" t="s">
        <v>74</v>
      </c>
      <c r="D43" s="49"/>
      <c r="E43" s="48"/>
      <c r="F43" s="53"/>
      <c r="G43" s="53"/>
      <c r="H43" s="54"/>
      <c r="I43" s="54"/>
      <c r="J43" s="53"/>
      <c r="K43" s="53">
        <f t="shared" si="0"/>
        <v>0</v>
      </c>
    </row>
    <row r="44" spans="2:11" s="34" customFormat="1" ht="15.75" customHeight="1" hidden="1">
      <c r="B44" s="64"/>
      <c r="C44" s="57" t="s">
        <v>218</v>
      </c>
      <c r="D44" s="49"/>
      <c r="E44" s="48"/>
      <c r="F44" s="53"/>
      <c r="G44" s="53"/>
      <c r="H44" s="54"/>
      <c r="I44" s="54"/>
      <c r="J44" s="53"/>
      <c r="K44" s="53">
        <f t="shared" si="0"/>
        <v>0</v>
      </c>
    </row>
    <row r="45" spans="2:11" s="34" customFormat="1" ht="15.75" customHeight="1" hidden="1">
      <c r="B45" s="64">
        <v>10</v>
      </c>
      <c r="C45" s="57" t="s">
        <v>75</v>
      </c>
      <c r="D45" s="49"/>
      <c r="E45" s="48"/>
      <c r="F45" s="53"/>
      <c r="G45" s="53"/>
      <c r="H45" s="54"/>
      <c r="I45" s="54"/>
      <c r="J45" s="53"/>
      <c r="K45" s="53">
        <f t="shared" si="0"/>
        <v>0</v>
      </c>
    </row>
    <row r="46" spans="2:11" s="34" customFormat="1" ht="15.75" customHeight="1" hidden="1">
      <c r="B46" s="64"/>
      <c r="C46" s="57" t="s">
        <v>76</v>
      </c>
      <c r="D46" s="49"/>
      <c r="E46" s="48"/>
      <c r="F46" s="53"/>
      <c r="G46" s="53"/>
      <c r="H46" s="54"/>
      <c r="I46" s="54"/>
      <c r="J46" s="53"/>
      <c r="K46" s="53">
        <f t="shared" si="0"/>
        <v>0</v>
      </c>
    </row>
    <row r="47" spans="2:11" s="34" customFormat="1" ht="15.75">
      <c r="B47" s="64">
        <v>9</v>
      </c>
      <c r="C47" s="57" t="s">
        <v>77</v>
      </c>
      <c r="D47" s="49"/>
      <c r="E47" s="48"/>
      <c r="F47" s="53">
        <f>107700+323100</f>
        <v>430800</v>
      </c>
      <c r="G47" s="53">
        <f>31700+24800</f>
        <v>56500</v>
      </c>
      <c r="H47" s="54">
        <v>0</v>
      </c>
      <c r="I47" s="54">
        <v>0</v>
      </c>
      <c r="J47" s="53"/>
      <c r="K47" s="53">
        <f t="shared" si="0"/>
        <v>487300</v>
      </c>
    </row>
    <row r="48" spans="2:11" s="34" customFormat="1" ht="15.75" hidden="1">
      <c r="B48" s="56">
        <v>39</v>
      </c>
      <c r="C48" s="70" t="s">
        <v>78</v>
      </c>
      <c r="D48" s="71"/>
      <c r="E48" s="72"/>
      <c r="F48" s="73"/>
      <c r="G48" s="73"/>
      <c r="H48" s="74"/>
      <c r="I48" s="74"/>
      <c r="J48" s="73"/>
      <c r="K48" s="53">
        <f t="shared" si="0"/>
        <v>0</v>
      </c>
    </row>
    <row r="49" spans="2:11" s="34" customFormat="1" ht="15.75" hidden="1">
      <c r="B49" s="58" t="s">
        <v>219</v>
      </c>
      <c r="C49" s="59"/>
      <c r="D49" s="49"/>
      <c r="E49" s="48"/>
      <c r="F49" s="53"/>
      <c r="G49" s="53"/>
      <c r="H49" s="54"/>
      <c r="I49" s="54"/>
      <c r="J49" s="53"/>
      <c r="K49" s="53">
        <f t="shared" si="0"/>
        <v>0</v>
      </c>
    </row>
    <row r="50" spans="2:11" ht="15.75" hidden="1">
      <c r="B50" s="60"/>
      <c r="C50" s="61"/>
      <c r="D50" s="49"/>
      <c r="E50" s="48"/>
      <c r="F50" s="53"/>
      <c r="G50" s="53"/>
      <c r="H50" s="54"/>
      <c r="I50" s="54"/>
      <c r="J50" s="53"/>
      <c r="K50" s="53">
        <f t="shared" si="0"/>
        <v>0</v>
      </c>
    </row>
    <row r="51" spans="2:11" ht="15.75" hidden="1">
      <c r="B51" s="96">
        <v>12</v>
      </c>
      <c r="C51" s="61" t="s">
        <v>321</v>
      </c>
      <c r="D51" s="49"/>
      <c r="E51" s="48"/>
      <c r="F51" s="53"/>
      <c r="G51" s="53"/>
      <c r="H51" s="54"/>
      <c r="I51" s="54"/>
      <c r="J51" s="53"/>
      <c r="K51" s="53">
        <f t="shared" si="0"/>
        <v>0</v>
      </c>
    </row>
    <row r="52" spans="2:11" ht="15.75" hidden="1">
      <c r="B52" s="96">
        <v>9</v>
      </c>
      <c r="C52" s="61" t="s">
        <v>604</v>
      </c>
      <c r="D52" s="49"/>
      <c r="E52" s="48"/>
      <c r="F52" s="53">
        <v>0</v>
      </c>
      <c r="G52" s="53">
        <v>0</v>
      </c>
      <c r="H52" s="54">
        <v>0</v>
      </c>
      <c r="I52" s="54">
        <f>632600-213200-419400</f>
        <v>0</v>
      </c>
      <c r="J52" s="53"/>
      <c r="K52" s="53">
        <f t="shared" si="0"/>
        <v>0</v>
      </c>
    </row>
    <row r="53" spans="2:11" ht="15.75" hidden="1">
      <c r="B53" s="96">
        <v>14</v>
      </c>
      <c r="C53" s="61" t="s">
        <v>320</v>
      </c>
      <c r="D53" s="49"/>
      <c r="E53" s="48"/>
      <c r="F53" s="53"/>
      <c r="G53" s="54"/>
      <c r="H53" s="54"/>
      <c r="I53" s="54"/>
      <c r="J53" s="53"/>
      <c r="K53" s="53">
        <f t="shared" si="0"/>
        <v>0</v>
      </c>
    </row>
    <row r="54" spans="2:11" ht="15.75">
      <c r="B54" s="96">
        <v>10</v>
      </c>
      <c r="C54" s="61" t="s">
        <v>53</v>
      </c>
      <c r="D54" s="49"/>
      <c r="E54" s="48"/>
      <c r="F54" s="53">
        <v>0</v>
      </c>
      <c r="G54" s="54">
        <v>0</v>
      </c>
      <c r="H54" s="54">
        <v>0</v>
      </c>
      <c r="I54" s="54">
        <v>83600</v>
      </c>
      <c r="J54" s="53"/>
      <c r="K54" s="53">
        <f t="shared" si="0"/>
        <v>83600</v>
      </c>
    </row>
    <row r="55" spans="2:11" ht="15.75" hidden="1">
      <c r="B55" s="96">
        <v>11</v>
      </c>
      <c r="C55" s="61" t="s">
        <v>217</v>
      </c>
      <c r="D55" s="49"/>
      <c r="E55" s="48"/>
      <c r="F55" s="53">
        <v>0</v>
      </c>
      <c r="G55" s="54">
        <v>0</v>
      </c>
      <c r="H55" s="54">
        <v>0</v>
      </c>
      <c r="I55" s="54"/>
      <c r="J55" s="53"/>
      <c r="K55" s="53">
        <f t="shared" si="0"/>
        <v>0</v>
      </c>
    </row>
    <row r="56" spans="2:11" ht="15.75">
      <c r="B56" s="96">
        <v>11</v>
      </c>
      <c r="C56" s="61" t="s">
        <v>604</v>
      </c>
      <c r="D56" s="49"/>
      <c r="E56" s="48"/>
      <c r="F56" s="53">
        <v>0</v>
      </c>
      <c r="G56" s="54">
        <v>0</v>
      </c>
      <c r="H56" s="54">
        <v>0</v>
      </c>
      <c r="I56" s="54">
        <f>419400+134760</f>
        <v>554160</v>
      </c>
      <c r="J56" s="53"/>
      <c r="K56" s="53">
        <f t="shared" si="0"/>
        <v>554160</v>
      </c>
    </row>
    <row r="57" spans="2:11" ht="15.75" customHeight="1">
      <c r="B57" s="62"/>
      <c r="C57" s="62" t="s">
        <v>4</v>
      </c>
      <c r="D57" s="51">
        <f>SUM(D11:D50)</f>
        <v>0</v>
      </c>
      <c r="E57" s="51">
        <f>SUM(E11:E50)</f>
        <v>0</v>
      </c>
      <c r="F57" s="55">
        <f>SUM(F11:F51)</f>
        <v>6934800</v>
      </c>
      <c r="G57" s="55">
        <f>SUM(G11:G51)</f>
        <v>1178000</v>
      </c>
      <c r="H57" s="55">
        <f>SUM(H11:H50)</f>
        <v>635000</v>
      </c>
      <c r="I57" s="55">
        <f>SUM(I11:I56)</f>
        <v>637760</v>
      </c>
      <c r="J57" s="55">
        <f>SUM(J11:J50)</f>
        <v>0</v>
      </c>
      <c r="K57" s="55">
        <f>SUM(K11:K56)</f>
        <v>9385560</v>
      </c>
    </row>
    <row r="58" spans="2:11" ht="15.75" hidden="1" thickBot="1">
      <c r="B58" s="35"/>
      <c r="C58" s="36"/>
      <c r="D58" s="37"/>
      <c r="E58" s="37"/>
      <c r="F58" s="38"/>
      <c r="G58" s="39"/>
      <c r="H58" s="39"/>
      <c r="I58" s="39"/>
      <c r="J58" s="37"/>
      <c r="K58" s="37"/>
    </row>
    <row r="59" spans="2:11" ht="15.75" hidden="1" thickBot="1">
      <c r="B59" s="399"/>
      <c r="C59" s="400"/>
      <c r="D59" s="40"/>
      <c r="E59" s="41"/>
      <c r="F59" s="42"/>
      <c r="G59" s="43"/>
      <c r="H59" s="43"/>
      <c r="I59" s="43"/>
      <c r="J59" s="33"/>
      <c r="K59" s="33"/>
    </row>
    <row r="60" spans="2:11" ht="15" hidden="1">
      <c r="B60" s="33"/>
      <c r="C60" s="44"/>
      <c r="D60" s="43"/>
      <c r="E60" s="43"/>
      <c r="F60" s="43"/>
      <c r="G60" s="33"/>
      <c r="H60" s="33"/>
      <c r="I60" s="33"/>
      <c r="J60" s="45"/>
      <c r="K60" s="45"/>
    </row>
    <row r="61" ht="22.5" customHeight="1"/>
    <row r="62" ht="12.75" hidden="1"/>
    <row r="63" spans="3:11" ht="18.75">
      <c r="C63" s="438" t="s">
        <v>100</v>
      </c>
      <c r="D63" s="438"/>
      <c r="E63" s="438"/>
      <c r="F63" s="438"/>
      <c r="G63" s="439"/>
      <c r="H63" s="439"/>
      <c r="I63" s="439" t="s">
        <v>643</v>
      </c>
      <c r="J63" s="438"/>
      <c r="K63" s="438"/>
    </row>
    <row r="64" spans="4:9" ht="15.75">
      <c r="D64" s="46" t="s">
        <v>100</v>
      </c>
      <c r="E64" s="46"/>
      <c r="F64" s="46"/>
      <c r="G64" s="46"/>
      <c r="H64" s="46"/>
      <c r="I64" s="46"/>
    </row>
  </sheetData>
  <sheetProtection/>
  <mergeCells count="14">
    <mergeCell ref="D9:D10"/>
    <mergeCell ref="E9:E10"/>
    <mergeCell ref="J9:J10"/>
    <mergeCell ref="K9:K10"/>
    <mergeCell ref="G1:K1"/>
    <mergeCell ref="G2:K2"/>
    <mergeCell ref="G3:K3"/>
    <mergeCell ref="B5:K5"/>
    <mergeCell ref="F9:I9"/>
    <mergeCell ref="B59:C59"/>
    <mergeCell ref="B8:B10"/>
    <mergeCell ref="C8:C10"/>
    <mergeCell ref="D8:E8"/>
    <mergeCell ref="F8:K8"/>
  </mergeCells>
  <printOptions/>
  <pageMargins left="0.75" right="0.75" top="1" bottom="1" header="0.5" footer="0.5"/>
  <pageSetup horizontalDpi="600" verticalDpi="6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6"/>
  <sheetViews>
    <sheetView zoomScalePageLayoutView="0" workbookViewId="0" topLeftCell="A4">
      <pane xSplit="1" ySplit="8" topLeftCell="C50" activePane="bottomRight" state="frozen"/>
      <selection pane="topLeft" activeCell="A4" sqref="A4"/>
      <selection pane="topRight" activeCell="B4" sqref="B4"/>
      <selection pane="bottomLeft" activeCell="A12" sqref="A12"/>
      <selection pane="bottomRight" activeCell="E64" sqref="E64"/>
    </sheetView>
  </sheetViews>
  <sheetFormatPr defaultColWidth="9.00390625" defaultRowHeight="12.75"/>
  <cols>
    <col min="1" max="1" width="16.375" style="0" customWidth="1"/>
    <col min="2" max="2" width="42.625" style="0" customWidth="1"/>
    <col min="3" max="3" width="51.75390625" style="0" customWidth="1"/>
    <col min="4" max="4" width="14.125" style="0" customWidth="1"/>
    <col min="5" max="5" width="35.125" style="0" customWidth="1"/>
    <col min="6" max="6" width="10.75390625" style="0" customWidth="1"/>
    <col min="7" max="7" width="19.125" style="0" customWidth="1"/>
  </cols>
  <sheetData>
    <row r="1" spans="1:7" ht="12.75">
      <c r="A1" s="12"/>
      <c r="F1" s="405" t="s">
        <v>247</v>
      </c>
      <c r="G1" s="405"/>
    </row>
    <row r="2" spans="6:7" ht="12.75">
      <c r="F2" s="405" t="s">
        <v>99</v>
      </c>
      <c r="G2" s="405"/>
    </row>
    <row r="3" spans="6:7" ht="12.75">
      <c r="F3" s="405" t="s">
        <v>588</v>
      </c>
      <c r="G3" s="405"/>
    </row>
    <row r="4" ht="12.75">
      <c r="F4" s="12"/>
    </row>
    <row r="5" ht="12.75">
      <c r="A5" s="13"/>
    </row>
    <row r="6" spans="1:7" ht="18.75">
      <c r="A6" s="407" t="s">
        <v>38</v>
      </c>
      <c r="B6" s="407"/>
      <c r="C6" s="407"/>
      <c r="D6" s="407"/>
      <c r="E6" s="407"/>
      <c r="F6" s="407"/>
      <c r="G6" s="407"/>
    </row>
    <row r="7" spans="1:7" ht="18.75">
      <c r="A7" s="407" t="s">
        <v>599</v>
      </c>
      <c r="B7" s="407"/>
      <c r="C7" s="407"/>
      <c r="D7" s="407"/>
      <c r="E7" s="407"/>
      <c r="F7" s="407"/>
      <c r="G7" s="407"/>
    </row>
    <row r="8" ht="13.5" thickBot="1">
      <c r="G8" s="14" t="s">
        <v>646</v>
      </c>
    </row>
    <row r="9" spans="1:8" s="29" customFormat="1" ht="40.5" customHeight="1" thickBot="1">
      <c r="A9" s="272" t="s">
        <v>35</v>
      </c>
      <c r="B9" s="290" t="s">
        <v>12</v>
      </c>
      <c r="C9" s="406" t="s">
        <v>37</v>
      </c>
      <c r="D9" s="406"/>
      <c r="E9" s="406" t="s">
        <v>39</v>
      </c>
      <c r="F9" s="406"/>
      <c r="G9" s="291" t="s">
        <v>3</v>
      </c>
      <c r="H9" s="287"/>
    </row>
    <row r="10" spans="1:7" s="29" customFormat="1" ht="50.25" customHeight="1">
      <c r="A10" s="273" t="s">
        <v>0</v>
      </c>
      <c r="B10" s="288" t="s">
        <v>36</v>
      </c>
      <c r="C10" s="289" t="s">
        <v>40</v>
      </c>
      <c r="D10" s="289" t="s">
        <v>41</v>
      </c>
      <c r="E10" s="289" t="s">
        <v>40</v>
      </c>
      <c r="F10" s="289" t="s">
        <v>41</v>
      </c>
      <c r="G10" s="289" t="s">
        <v>41</v>
      </c>
    </row>
    <row r="11" spans="1:7" s="29" customFormat="1" ht="12.75">
      <c r="A11" s="274">
        <v>1</v>
      </c>
      <c r="B11" s="261">
        <v>2</v>
      </c>
      <c r="C11" s="21">
        <v>3</v>
      </c>
      <c r="D11" s="21">
        <v>4</v>
      </c>
      <c r="E11" s="21">
        <v>5</v>
      </c>
      <c r="F11" s="21">
        <v>6</v>
      </c>
      <c r="G11" s="21">
        <v>7</v>
      </c>
    </row>
    <row r="12" spans="1:7" s="29" customFormat="1" ht="15">
      <c r="A12" s="275" t="s">
        <v>95</v>
      </c>
      <c r="B12" s="262" t="s">
        <v>13</v>
      </c>
      <c r="C12" s="16"/>
      <c r="D12" s="21">
        <f>D15+D16+D17+D18+D19+D20+D21+D22+D23</f>
        <v>2104942</v>
      </c>
      <c r="E12" s="21"/>
      <c r="F12" s="21">
        <f>F13+F15+F16+F18+F20+F21+F22+F23+F17</f>
        <v>1346500</v>
      </c>
      <c r="G12" s="21">
        <f>D12+F12</f>
        <v>3451442</v>
      </c>
    </row>
    <row r="13" spans="1:7" s="29" customFormat="1" ht="26.25" customHeight="1" hidden="1">
      <c r="A13" s="408">
        <v>90412</v>
      </c>
      <c r="B13" s="409" t="s">
        <v>43</v>
      </c>
      <c r="C13" s="28" t="s">
        <v>110</v>
      </c>
      <c r="D13" s="15">
        <f>100000-100000</f>
        <v>0</v>
      </c>
      <c r="E13" s="16"/>
      <c r="F13" s="21"/>
      <c r="G13" s="15">
        <f aca="true" t="shared" si="0" ref="G13:G58">D13+F13</f>
        <v>0</v>
      </c>
    </row>
    <row r="14" spans="1:7" s="29" customFormat="1" ht="30" hidden="1">
      <c r="A14" s="408"/>
      <c r="B14" s="409"/>
      <c r="C14" s="19" t="s">
        <v>126</v>
      </c>
      <c r="D14" s="15">
        <f>121500-121500+121500-121500</f>
        <v>0</v>
      </c>
      <c r="E14" s="16"/>
      <c r="F14" s="21"/>
      <c r="G14" s="15"/>
    </row>
    <row r="15" spans="1:7" s="29" customFormat="1" ht="31.5">
      <c r="A15" s="277" t="s">
        <v>454</v>
      </c>
      <c r="B15" s="292" t="s">
        <v>455</v>
      </c>
      <c r="C15" s="293" t="s">
        <v>245</v>
      </c>
      <c r="D15" s="15">
        <f>213000+29700</f>
        <v>242700</v>
      </c>
      <c r="E15" s="27"/>
      <c r="F15" s="15"/>
      <c r="G15" s="15">
        <f t="shared" si="0"/>
        <v>242700</v>
      </c>
    </row>
    <row r="16" spans="1:7" s="29" customFormat="1" ht="69" customHeight="1">
      <c r="A16" s="277" t="s">
        <v>454</v>
      </c>
      <c r="B16" s="292" t="s">
        <v>455</v>
      </c>
      <c r="C16" s="293" t="s">
        <v>618</v>
      </c>
      <c r="D16" s="94">
        <f>50000+50000</f>
        <v>100000</v>
      </c>
      <c r="E16" s="27"/>
      <c r="F16" s="15"/>
      <c r="G16" s="15">
        <f t="shared" si="0"/>
        <v>100000</v>
      </c>
    </row>
    <row r="17" spans="1:7" s="29" customFormat="1" ht="31.5">
      <c r="A17" s="277" t="s">
        <v>601</v>
      </c>
      <c r="B17" s="292" t="s">
        <v>447</v>
      </c>
      <c r="C17" s="294" t="s">
        <v>248</v>
      </c>
      <c r="D17" s="94">
        <v>102000</v>
      </c>
      <c r="E17" s="27"/>
      <c r="F17" s="15"/>
      <c r="G17" s="15">
        <f t="shared" si="0"/>
        <v>102000</v>
      </c>
    </row>
    <row r="18" spans="1:7" s="259" customFormat="1" ht="47.25">
      <c r="A18" s="277" t="s">
        <v>454</v>
      </c>
      <c r="B18" s="292" t="s">
        <v>455</v>
      </c>
      <c r="C18" s="293" t="s">
        <v>617</v>
      </c>
      <c r="D18" s="94">
        <v>30000</v>
      </c>
      <c r="E18" s="236"/>
      <c r="F18" s="94"/>
      <c r="G18" s="94">
        <f t="shared" si="0"/>
        <v>30000</v>
      </c>
    </row>
    <row r="19" spans="1:7" s="29" customFormat="1" ht="31.5">
      <c r="A19" s="277" t="s">
        <v>454</v>
      </c>
      <c r="B19" s="292" t="s">
        <v>455</v>
      </c>
      <c r="C19" s="293" t="s">
        <v>616</v>
      </c>
      <c r="D19" s="94">
        <f>30000+50000</f>
        <v>80000</v>
      </c>
      <c r="E19" s="27"/>
      <c r="F19" s="15"/>
      <c r="G19" s="15">
        <f t="shared" si="0"/>
        <v>80000</v>
      </c>
    </row>
    <row r="20" spans="1:7" s="29" customFormat="1" ht="63">
      <c r="A20" s="277" t="s">
        <v>452</v>
      </c>
      <c r="B20" s="295" t="s">
        <v>423</v>
      </c>
      <c r="C20" s="293" t="s">
        <v>628</v>
      </c>
      <c r="D20" s="94">
        <f>425700+15000+20000+40000+22000</f>
        <v>522700</v>
      </c>
      <c r="E20" s="293" t="s">
        <v>628</v>
      </c>
      <c r="F20" s="15">
        <v>160000</v>
      </c>
      <c r="G20" s="15">
        <f t="shared" si="0"/>
        <v>682700</v>
      </c>
    </row>
    <row r="21" spans="1:7" s="29" customFormat="1" ht="31.5" hidden="1">
      <c r="A21" s="278" t="s">
        <v>330</v>
      </c>
      <c r="B21" s="340" t="s">
        <v>332</v>
      </c>
      <c r="C21" s="16" t="s">
        <v>257</v>
      </c>
      <c r="D21" s="94"/>
      <c r="E21" s="27"/>
      <c r="F21" s="15"/>
      <c r="G21" s="15">
        <f t="shared" si="0"/>
        <v>0</v>
      </c>
    </row>
    <row r="22" spans="1:7" s="29" customFormat="1" ht="67.5" customHeight="1">
      <c r="A22" s="277" t="s">
        <v>612</v>
      </c>
      <c r="B22" s="341" t="s">
        <v>561</v>
      </c>
      <c r="C22" s="16"/>
      <c r="D22" s="15">
        <v>0</v>
      </c>
      <c r="E22" s="16" t="s">
        <v>629</v>
      </c>
      <c r="F22" s="15">
        <v>412000</v>
      </c>
      <c r="G22" s="15">
        <f t="shared" si="0"/>
        <v>412000</v>
      </c>
    </row>
    <row r="23" spans="1:7" s="260" customFormat="1" ht="45">
      <c r="A23" s="277" t="s">
        <v>420</v>
      </c>
      <c r="B23" s="294" t="s">
        <v>263</v>
      </c>
      <c r="C23" s="16" t="s">
        <v>629</v>
      </c>
      <c r="D23" s="94">
        <f>868042+66500+56000+37000</f>
        <v>1027542</v>
      </c>
      <c r="E23" s="16" t="s">
        <v>629</v>
      </c>
      <c r="F23" s="94">
        <f>674500+100000</f>
        <v>774500</v>
      </c>
      <c r="G23" s="94">
        <f t="shared" si="0"/>
        <v>1802042</v>
      </c>
    </row>
    <row r="24" spans="1:7" s="29" customFormat="1" ht="14.25" customHeight="1">
      <c r="A24" s="275" t="s">
        <v>324</v>
      </c>
      <c r="B24" s="262" t="s">
        <v>15</v>
      </c>
      <c r="C24" s="17"/>
      <c r="D24" s="21">
        <f>D25+D29+D31+D32+D26+D30+D27+D28+D33</f>
        <v>61700</v>
      </c>
      <c r="E24" s="21"/>
      <c r="F24" s="21">
        <f>F25+F29+F31+F32+F26+F30</f>
        <v>0</v>
      </c>
      <c r="G24" s="21">
        <f>D24+F24</f>
        <v>61700</v>
      </c>
    </row>
    <row r="25" spans="1:7" s="29" customFormat="1" ht="30" hidden="1">
      <c r="A25" s="276">
        <v>81007</v>
      </c>
      <c r="B25" s="263" t="s">
        <v>42</v>
      </c>
      <c r="C25" s="16" t="s">
        <v>96</v>
      </c>
      <c r="D25" s="15"/>
      <c r="E25" s="15">
        <v>0</v>
      </c>
      <c r="F25" s="15">
        <v>0</v>
      </c>
      <c r="G25" s="15">
        <f t="shared" si="0"/>
        <v>0</v>
      </c>
    </row>
    <row r="26" spans="1:7" s="29" customFormat="1" ht="30" hidden="1">
      <c r="A26" s="276">
        <v>81009</v>
      </c>
      <c r="B26" s="264" t="s">
        <v>117</v>
      </c>
      <c r="C26" s="16" t="s">
        <v>120</v>
      </c>
      <c r="D26" s="15"/>
      <c r="E26" s="16"/>
      <c r="F26" s="15"/>
      <c r="G26" s="15">
        <f t="shared" si="0"/>
        <v>0</v>
      </c>
    </row>
    <row r="27" spans="1:7" s="29" customFormat="1" ht="30" hidden="1">
      <c r="A27" s="276">
        <v>81010</v>
      </c>
      <c r="B27" s="264" t="s">
        <v>118</v>
      </c>
      <c r="C27" s="16" t="s">
        <v>121</v>
      </c>
      <c r="D27" s="15"/>
      <c r="E27" s="16"/>
      <c r="F27" s="15"/>
      <c r="G27" s="15"/>
    </row>
    <row r="28" spans="1:7" s="29" customFormat="1" ht="15" hidden="1">
      <c r="A28" s="276">
        <v>81002</v>
      </c>
      <c r="B28" s="264" t="s">
        <v>119</v>
      </c>
      <c r="C28" s="16" t="s">
        <v>122</v>
      </c>
      <c r="D28" s="15"/>
      <c r="E28" s="16"/>
      <c r="F28" s="15"/>
      <c r="G28" s="15"/>
    </row>
    <row r="29" spans="1:7" s="29" customFormat="1" ht="60" hidden="1">
      <c r="A29" s="278"/>
      <c r="B29" s="263" t="s">
        <v>14</v>
      </c>
      <c r="C29" s="16" t="s">
        <v>125</v>
      </c>
      <c r="D29" s="15"/>
      <c r="E29" s="16"/>
      <c r="F29" s="15"/>
      <c r="G29" s="15">
        <f t="shared" si="0"/>
        <v>0</v>
      </c>
    </row>
    <row r="30" spans="1:7" s="29" customFormat="1" ht="45" hidden="1">
      <c r="A30" s="278"/>
      <c r="B30" s="263" t="s">
        <v>114</v>
      </c>
      <c r="C30" s="16" t="s">
        <v>249</v>
      </c>
      <c r="D30" s="15"/>
      <c r="E30" s="16"/>
      <c r="F30" s="15"/>
      <c r="G30" s="15">
        <f t="shared" si="0"/>
        <v>0</v>
      </c>
    </row>
    <row r="31" spans="1:7" s="29" customFormat="1" ht="60.75" customHeight="1">
      <c r="A31" s="277" t="s">
        <v>334</v>
      </c>
      <c r="B31" s="292" t="s">
        <v>337</v>
      </c>
      <c r="C31" s="293" t="s">
        <v>250</v>
      </c>
      <c r="D31" s="15">
        <v>61700</v>
      </c>
      <c r="E31" s="16"/>
      <c r="F31" s="15"/>
      <c r="G31" s="15">
        <f t="shared" si="0"/>
        <v>61700</v>
      </c>
    </row>
    <row r="32" spans="1:7" s="29" customFormat="1" ht="15" hidden="1">
      <c r="A32" s="278"/>
      <c r="B32" s="265"/>
      <c r="C32" s="16"/>
      <c r="D32" s="15"/>
      <c r="F32" s="15"/>
      <c r="G32" s="15">
        <f t="shared" si="0"/>
        <v>0</v>
      </c>
    </row>
    <row r="33" spans="1:7" s="29" customFormat="1" ht="30" hidden="1">
      <c r="A33" s="278" t="s">
        <v>338</v>
      </c>
      <c r="B33" s="266" t="s">
        <v>311</v>
      </c>
      <c r="C33" s="16" t="s">
        <v>313</v>
      </c>
      <c r="D33" s="15"/>
      <c r="F33" s="15"/>
      <c r="G33" s="15">
        <f t="shared" si="0"/>
        <v>0</v>
      </c>
    </row>
    <row r="34" spans="1:7" s="29" customFormat="1" ht="18.75" customHeight="1">
      <c r="A34" s="275" t="s">
        <v>417</v>
      </c>
      <c r="B34" s="262" t="s">
        <v>111</v>
      </c>
      <c r="C34" s="17"/>
      <c r="D34" s="21">
        <f>D35+D37+D36+D40+D38+D39+D41</f>
        <v>1093800</v>
      </c>
      <c r="E34" s="21"/>
      <c r="F34" s="21">
        <f>F35+F36+F37+F38+F40</f>
        <v>0</v>
      </c>
      <c r="G34" s="21">
        <f>D34+F34</f>
        <v>1093800</v>
      </c>
    </row>
    <row r="35" spans="1:7" s="29" customFormat="1" ht="78.75">
      <c r="A35" s="279">
        <v>3719770</v>
      </c>
      <c r="B35" s="296" t="s">
        <v>30</v>
      </c>
      <c r="C35" s="293" t="s">
        <v>251</v>
      </c>
      <c r="D35" s="94">
        <f>400000+200000+35000</f>
        <v>635000</v>
      </c>
      <c r="E35" s="16"/>
      <c r="F35" s="15"/>
      <c r="G35" s="15">
        <f>D35+F35</f>
        <v>635000</v>
      </c>
    </row>
    <row r="36" spans="1:7" s="29" customFormat="1" ht="60" hidden="1">
      <c r="A36" s="280"/>
      <c r="B36" s="264" t="s">
        <v>80</v>
      </c>
      <c r="C36" s="16" t="s">
        <v>115</v>
      </c>
      <c r="D36" s="15"/>
      <c r="E36" s="16"/>
      <c r="F36" s="15"/>
      <c r="G36" s="15">
        <f t="shared" si="0"/>
        <v>0</v>
      </c>
    </row>
    <row r="37" spans="1:7" s="29" customFormat="1" ht="60">
      <c r="A37" s="280">
        <v>3719800</v>
      </c>
      <c r="B37" s="264" t="s">
        <v>563</v>
      </c>
      <c r="C37" s="16" t="s">
        <v>251</v>
      </c>
      <c r="D37" s="15">
        <f>20000+30000</f>
        <v>50000</v>
      </c>
      <c r="E37" s="16"/>
      <c r="F37" s="15"/>
      <c r="G37" s="15">
        <f t="shared" si="0"/>
        <v>50000</v>
      </c>
    </row>
    <row r="38" spans="1:7" s="29" customFormat="1" ht="60">
      <c r="A38" s="280">
        <v>3719800</v>
      </c>
      <c r="B38" s="264" t="s">
        <v>563</v>
      </c>
      <c r="C38" s="16" t="s">
        <v>614</v>
      </c>
      <c r="D38" s="15">
        <f>215000+5000</f>
        <v>220000</v>
      </c>
      <c r="E38" s="16"/>
      <c r="F38" s="15"/>
      <c r="G38" s="15">
        <f t="shared" si="0"/>
        <v>220000</v>
      </c>
    </row>
    <row r="39" spans="1:7" s="29" customFormat="1" ht="45">
      <c r="A39" s="280">
        <v>3719800</v>
      </c>
      <c r="B39" s="264" t="s">
        <v>563</v>
      </c>
      <c r="C39" s="16" t="s">
        <v>615</v>
      </c>
      <c r="D39" s="15">
        <v>138800</v>
      </c>
      <c r="E39" s="16"/>
      <c r="F39" s="15"/>
      <c r="G39" s="15">
        <f t="shared" si="0"/>
        <v>138800</v>
      </c>
    </row>
    <row r="40" spans="1:7" s="29" customFormat="1" ht="60">
      <c r="A40" s="279">
        <v>3719800</v>
      </c>
      <c r="B40" s="264" t="s">
        <v>563</v>
      </c>
      <c r="C40" s="16" t="s">
        <v>619</v>
      </c>
      <c r="D40" s="15">
        <v>50000</v>
      </c>
      <c r="E40" s="16"/>
      <c r="F40" s="15"/>
      <c r="G40" s="15">
        <f t="shared" si="0"/>
        <v>50000</v>
      </c>
    </row>
    <row r="41" spans="1:7" s="29" customFormat="1" ht="30" hidden="1">
      <c r="A41" s="280">
        <v>3719800</v>
      </c>
      <c r="B41" s="264" t="s">
        <v>392</v>
      </c>
      <c r="C41" s="16" t="s">
        <v>317</v>
      </c>
      <c r="D41" s="15"/>
      <c r="E41" s="16"/>
      <c r="F41" s="15"/>
      <c r="G41" s="15">
        <f t="shared" si="0"/>
        <v>0</v>
      </c>
    </row>
    <row r="42" spans="1:7" s="29" customFormat="1" ht="28.5">
      <c r="A42" s="275" t="s">
        <v>326</v>
      </c>
      <c r="B42" s="262" t="s">
        <v>113</v>
      </c>
      <c r="C42" s="17"/>
      <c r="D42" s="21">
        <f>D43+D44+D45+D46+D47+D49+D50+D51+D48</f>
        <v>1797760</v>
      </c>
      <c r="E42" s="21"/>
      <c r="F42" s="21">
        <f>F43+F44+F45+F46+F47+F49</f>
        <v>24000</v>
      </c>
      <c r="G42" s="21">
        <f>D42+F42</f>
        <v>1821760</v>
      </c>
    </row>
    <row r="43" spans="1:7" s="259" customFormat="1" ht="31.5">
      <c r="A43" s="282" t="s">
        <v>446</v>
      </c>
      <c r="B43" s="292" t="s">
        <v>447</v>
      </c>
      <c r="C43" s="297" t="s">
        <v>46</v>
      </c>
      <c r="D43" s="94">
        <f>144400+100000-24800+5000-10000+10000-18300+15000+50000</f>
        <v>271300</v>
      </c>
      <c r="E43" s="297" t="s">
        <v>46</v>
      </c>
      <c r="F43" s="94">
        <f>18300+5700</f>
        <v>24000</v>
      </c>
      <c r="G43" s="94">
        <f t="shared" si="0"/>
        <v>295300</v>
      </c>
    </row>
    <row r="44" spans="1:7" s="29" customFormat="1" ht="47.25">
      <c r="A44" s="281" t="s">
        <v>446</v>
      </c>
      <c r="B44" s="292" t="s">
        <v>447</v>
      </c>
      <c r="C44" s="297" t="s">
        <v>583</v>
      </c>
      <c r="D44" s="15">
        <f>200000-113500</f>
        <v>86500</v>
      </c>
      <c r="E44" s="19"/>
      <c r="F44" s="15">
        <f>100000-100000</f>
        <v>0</v>
      </c>
      <c r="G44" s="15">
        <f t="shared" si="0"/>
        <v>86500</v>
      </c>
    </row>
    <row r="45" spans="1:7" s="29" customFormat="1" ht="63">
      <c r="A45" s="282" t="s">
        <v>592</v>
      </c>
      <c r="B45" s="298" t="s">
        <v>268</v>
      </c>
      <c r="C45" s="297" t="s">
        <v>253</v>
      </c>
      <c r="D45" s="15">
        <f>10000+5000+10000+8000</f>
        <v>33000</v>
      </c>
      <c r="E45" s="21"/>
      <c r="F45" s="21"/>
      <c r="G45" s="15">
        <f t="shared" si="0"/>
        <v>33000</v>
      </c>
    </row>
    <row r="46" spans="1:7" s="29" customFormat="1" ht="47.25">
      <c r="A46" s="282" t="s">
        <v>367</v>
      </c>
      <c r="B46" s="299" t="s">
        <v>281</v>
      </c>
      <c r="C46" s="297" t="s">
        <v>46</v>
      </c>
      <c r="D46" s="15">
        <v>20000</v>
      </c>
      <c r="E46" s="21"/>
      <c r="F46" s="21"/>
      <c r="G46" s="15">
        <f t="shared" si="0"/>
        <v>20000</v>
      </c>
    </row>
    <row r="47" spans="1:7" s="259" customFormat="1" ht="15.75">
      <c r="A47" s="282" t="s">
        <v>381</v>
      </c>
      <c r="B47" s="342" t="s">
        <v>283</v>
      </c>
      <c r="C47" s="297" t="s">
        <v>252</v>
      </c>
      <c r="D47" s="94">
        <f>10000+14000</f>
        <v>24000</v>
      </c>
      <c r="E47" s="94"/>
      <c r="F47" s="94">
        <v>0</v>
      </c>
      <c r="G47" s="94">
        <f t="shared" si="0"/>
        <v>24000</v>
      </c>
    </row>
    <row r="48" spans="1:7" s="29" customFormat="1" ht="78.75">
      <c r="A48" s="282" t="s">
        <v>608</v>
      </c>
      <c r="B48" s="304" t="s">
        <v>609</v>
      </c>
      <c r="C48" s="297" t="s">
        <v>621</v>
      </c>
      <c r="D48" s="15">
        <v>108000</v>
      </c>
      <c r="E48" s="15"/>
      <c r="F48" s="15"/>
      <c r="G48" s="15"/>
    </row>
    <row r="49" spans="1:7" s="29" customFormat="1" ht="58.5" customHeight="1">
      <c r="A49" s="281" t="s">
        <v>440</v>
      </c>
      <c r="B49" s="300" t="s">
        <v>441</v>
      </c>
      <c r="C49" s="297" t="s">
        <v>46</v>
      </c>
      <c r="D49" s="15">
        <f>48000+7000+1960+15000+5000+5000</f>
        <v>81960</v>
      </c>
      <c r="E49" s="15"/>
      <c r="F49" s="15">
        <v>0</v>
      </c>
      <c r="G49" s="15">
        <f t="shared" si="0"/>
        <v>81960</v>
      </c>
    </row>
    <row r="50" spans="1:7" s="259" customFormat="1" ht="31.5">
      <c r="A50" s="282" t="s">
        <v>442</v>
      </c>
      <c r="B50" s="292" t="s">
        <v>322</v>
      </c>
      <c r="C50" s="297" t="s">
        <v>631</v>
      </c>
      <c r="D50" s="94">
        <v>23000</v>
      </c>
      <c r="E50" s="94"/>
      <c r="F50" s="94"/>
      <c r="G50" s="94">
        <f t="shared" si="0"/>
        <v>23000</v>
      </c>
    </row>
    <row r="51" spans="1:7" s="29" customFormat="1" ht="47.25">
      <c r="A51" s="282" t="s">
        <v>365</v>
      </c>
      <c r="B51" s="292" t="s">
        <v>366</v>
      </c>
      <c r="C51" s="297" t="s">
        <v>605</v>
      </c>
      <c r="D51" s="94">
        <f>850000-330000+600000+30000</f>
        <v>1150000</v>
      </c>
      <c r="E51" s="15"/>
      <c r="F51" s="15"/>
      <c r="G51" s="15"/>
    </row>
    <row r="52" spans="1:7" s="29" customFormat="1" ht="28.5">
      <c r="A52" s="278" t="s">
        <v>325</v>
      </c>
      <c r="B52" s="267" t="s">
        <v>584</v>
      </c>
      <c r="C52" s="19"/>
      <c r="D52" s="21">
        <f>D53+D54+D55</f>
        <v>27500</v>
      </c>
      <c r="E52" s="15"/>
      <c r="F52" s="15">
        <v>0</v>
      </c>
      <c r="G52" s="21">
        <f>D52+F52</f>
        <v>27500</v>
      </c>
    </row>
    <row r="53" spans="1:7" s="29" customFormat="1" ht="60" hidden="1">
      <c r="A53" s="278" t="s">
        <v>352</v>
      </c>
      <c r="B53" s="266" t="s">
        <v>268</v>
      </c>
      <c r="C53" s="19" t="s">
        <v>253</v>
      </c>
      <c r="D53" s="15"/>
      <c r="E53" s="15"/>
      <c r="F53" s="15">
        <v>0</v>
      </c>
      <c r="G53" s="15">
        <f t="shared" si="0"/>
        <v>0</v>
      </c>
    </row>
    <row r="54" spans="1:7" s="29" customFormat="1" ht="30" hidden="1">
      <c r="A54" s="283" t="s">
        <v>86</v>
      </c>
      <c r="B54" s="266" t="s">
        <v>87</v>
      </c>
      <c r="C54" s="19" t="s">
        <v>88</v>
      </c>
      <c r="D54" s="15"/>
      <c r="E54" s="15"/>
      <c r="F54" s="15">
        <v>0</v>
      </c>
      <c r="G54" s="15">
        <f t="shared" si="0"/>
        <v>0</v>
      </c>
    </row>
    <row r="55" spans="1:7" s="29" customFormat="1" ht="91.5" customHeight="1">
      <c r="A55" s="277" t="s">
        <v>340</v>
      </c>
      <c r="B55" s="299" t="s">
        <v>266</v>
      </c>
      <c r="C55" s="297" t="s">
        <v>315</v>
      </c>
      <c r="D55" s="94">
        <v>27500</v>
      </c>
      <c r="E55" s="15"/>
      <c r="F55" s="15"/>
      <c r="G55" s="15">
        <f>D55+F55</f>
        <v>27500</v>
      </c>
    </row>
    <row r="56" spans="1:7" s="29" customFormat="1" ht="14.25" hidden="1">
      <c r="A56" s="284" t="s">
        <v>97</v>
      </c>
      <c r="B56" s="262" t="s">
        <v>129</v>
      </c>
      <c r="C56" s="20"/>
      <c r="D56" s="21">
        <f>D57+D58</f>
        <v>0</v>
      </c>
      <c r="E56" s="21"/>
      <c r="F56" s="21">
        <v>0</v>
      </c>
      <c r="G56" s="21">
        <f t="shared" si="0"/>
        <v>0</v>
      </c>
    </row>
    <row r="57" spans="1:7" s="259" customFormat="1" ht="30" hidden="1">
      <c r="A57" s="282" t="s">
        <v>418</v>
      </c>
      <c r="B57" s="263" t="s">
        <v>387</v>
      </c>
      <c r="C57" s="16" t="s">
        <v>45</v>
      </c>
      <c r="D57" s="94">
        <f>180000-180000</f>
        <v>0</v>
      </c>
      <c r="E57" s="94"/>
      <c r="F57" s="94">
        <v>0</v>
      </c>
      <c r="G57" s="94">
        <f t="shared" si="0"/>
        <v>0</v>
      </c>
    </row>
    <row r="58" spans="1:7" s="29" customFormat="1" ht="30" hidden="1">
      <c r="A58" s="285">
        <v>110300</v>
      </c>
      <c r="B58" s="263" t="s">
        <v>27</v>
      </c>
      <c r="C58" s="16" t="s">
        <v>44</v>
      </c>
      <c r="D58" s="15"/>
      <c r="E58" s="15"/>
      <c r="F58" s="15">
        <v>0</v>
      </c>
      <c r="G58" s="15">
        <f t="shared" si="0"/>
        <v>0</v>
      </c>
    </row>
    <row r="59" spans="1:7" s="29" customFormat="1" ht="28.5">
      <c r="A59" s="281" t="s">
        <v>98</v>
      </c>
      <c r="B59" s="268" t="s">
        <v>255</v>
      </c>
      <c r="C59" s="16"/>
      <c r="D59" s="21">
        <f>D60+D61+D62</f>
        <v>102040</v>
      </c>
      <c r="E59" s="15"/>
      <c r="F59" s="21">
        <f>F60+F61</f>
        <v>73596.45</v>
      </c>
      <c r="G59" s="21">
        <f>D59+F59</f>
        <v>175636.45</v>
      </c>
    </row>
    <row r="60" spans="1:7" s="29" customFormat="1" ht="30">
      <c r="A60" s="281" t="s">
        <v>419</v>
      </c>
      <c r="B60" s="269" t="s">
        <v>389</v>
      </c>
      <c r="C60" s="16" t="s">
        <v>314</v>
      </c>
      <c r="D60" s="15">
        <f>108000-55960+50000</f>
        <v>102040</v>
      </c>
      <c r="E60" s="15"/>
      <c r="F60" s="15">
        <v>0</v>
      </c>
      <c r="G60" s="21">
        <f>D60+F60</f>
        <v>102040</v>
      </c>
    </row>
    <row r="61" spans="1:7" s="29" customFormat="1" ht="45">
      <c r="A61" s="281" t="s">
        <v>567</v>
      </c>
      <c r="B61" s="263" t="s">
        <v>566</v>
      </c>
      <c r="C61" s="16"/>
      <c r="D61" s="15"/>
      <c r="E61" s="16" t="s">
        <v>314</v>
      </c>
      <c r="F61" s="15">
        <v>73596.45</v>
      </c>
      <c r="G61" s="21">
        <f>D61+F61</f>
        <v>73596.45</v>
      </c>
    </row>
    <row r="62" spans="1:7" s="29" customFormat="1" ht="75" hidden="1">
      <c r="A62" s="278"/>
      <c r="B62" s="270" t="s">
        <v>79</v>
      </c>
      <c r="C62" s="24" t="s">
        <v>106</v>
      </c>
      <c r="D62" s="15"/>
      <c r="E62" s="24" t="s">
        <v>106</v>
      </c>
      <c r="F62" s="94"/>
      <c r="G62" s="21">
        <f>D62+F62</f>
        <v>0</v>
      </c>
    </row>
    <row r="63" spans="1:7" s="29" customFormat="1" ht="15" thickBot="1">
      <c r="A63" s="286"/>
      <c r="B63" s="271" t="s">
        <v>4</v>
      </c>
      <c r="C63" s="15"/>
      <c r="D63" s="21">
        <f>D12+D24+D34+D42+D52+D56+D59</f>
        <v>5187742</v>
      </c>
      <c r="E63" s="21"/>
      <c r="F63" s="21">
        <f>F12+F24+F34+F42+F52+F56+F59</f>
        <v>1444096.45</v>
      </c>
      <c r="G63" s="21">
        <f>G12+G24+G34+G42+G56+G59+G52</f>
        <v>6631838.45</v>
      </c>
    </row>
    <row r="64" ht="12.75">
      <c r="A64" s="12"/>
    </row>
    <row r="66" spans="1:7" ht="18.75">
      <c r="A66" s="388" t="s">
        <v>90</v>
      </c>
      <c r="B66" s="388"/>
      <c r="C66" s="23"/>
      <c r="D66" s="26" t="s">
        <v>643</v>
      </c>
      <c r="E66" s="23"/>
      <c r="F66" s="23"/>
      <c r="G66" s="23"/>
    </row>
  </sheetData>
  <sheetProtection/>
  <mergeCells count="10">
    <mergeCell ref="F3:G3"/>
    <mergeCell ref="F2:G2"/>
    <mergeCell ref="F1:G1"/>
    <mergeCell ref="A66:B66"/>
    <mergeCell ref="C9:D9"/>
    <mergeCell ref="E9:F9"/>
    <mergeCell ref="A6:G6"/>
    <mergeCell ref="A7:G7"/>
    <mergeCell ref="A13:A14"/>
    <mergeCell ref="B13:B14"/>
  </mergeCells>
  <printOptions/>
  <pageMargins left="0" right="0" top="0" bottom="0" header="0" footer="0"/>
  <pageSetup horizontalDpi="600" verticalDpi="600" orientation="landscape" paperSize="9" scale="60" r:id="rId1"/>
  <rowBreaks count="1" manualBreakCount="1">
    <brk id="38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27"/>
  <sheetViews>
    <sheetView zoomScale="120" zoomScaleNormal="120" zoomScalePageLayoutView="0" workbookViewId="0" topLeftCell="B13">
      <selection activeCell="F5" sqref="F5"/>
    </sheetView>
  </sheetViews>
  <sheetFormatPr defaultColWidth="9.00390625" defaultRowHeight="12.75"/>
  <cols>
    <col min="1" max="1" width="25.875" style="0" customWidth="1"/>
    <col min="2" max="2" width="38.875" style="0" customWidth="1"/>
    <col min="3" max="3" width="22.00390625" style="0" customWidth="1"/>
    <col min="4" max="4" width="17.00390625" style="0" customWidth="1"/>
    <col min="5" max="5" width="20.125" style="0" customWidth="1"/>
    <col min="6" max="6" width="17.125" style="0" customWidth="1"/>
  </cols>
  <sheetData>
    <row r="1" ht="12.75">
      <c r="A1" s="197"/>
    </row>
    <row r="2" spans="5:6" ht="18.75">
      <c r="E2" s="440" t="s">
        <v>464</v>
      </c>
      <c r="F2" s="440"/>
    </row>
    <row r="3" spans="1:6" ht="18.75">
      <c r="A3" t="s">
        <v>211</v>
      </c>
      <c r="E3" s="440" t="s">
        <v>465</v>
      </c>
      <c r="F3" s="440"/>
    </row>
    <row r="4" spans="5:6" ht="18.75">
      <c r="E4" s="440" t="s">
        <v>648</v>
      </c>
      <c r="F4" s="440"/>
    </row>
    <row r="5" ht="18.75">
      <c r="A5" s="198"/>
    </row>
    <row r="6" ht="18.75">
      <c r="A6" s="198"/>
    </row>
    <row r="7" spans="1:6" ht="18.75">
      <c r="A7" s="415" t="s">
        <v>600</v>
      </c>
      <c r="B7" s="415"/>
      <c r="C7" s="415"/>
      <c r="D7" s="415"/>
      <c r="E7" s="415"/>
      <c r="F7" s="415"/>
    </row>
    <row r="8" ht="12.75">
      <c r="A8" s="14"/>
    </row>
    <row r="9" spans="1:2" ht="12.75">
      <c r="A9" s="14"/>
      <c r="B9" s="199"/>
    </row>
    <row r="10" spans="1:6" ht="12.75">
      <c r="A10" s="14"/>
      <c r="F10" s="14" t="s">
        <v>647</v>
      </c>
    </row>
    <row r="11" spans="1:6" ht="12.75">
      <c r="A11" s="410" t="s">
        <v>466</v>
      </c>
      <c r="B11" s="410" t="s">
        <v>467</v>
      </c>
      <c r="C11" s="410" t="s">
        <v>37</v>
      </c>
      <c r="D11" s="413" t="s">
        <v>468</v>
      </c>
      <c r="E11" s="413"/>
      <c r="F11" s="410" t="s">
        <v>3</v>
      </c>
    </row>
    <row r="12" spans="1:6" ht="12.75">
      <c r="A12" s="412"/>
      <c r="B12" s="412"/>
      <c r="C12" s="412"/>
      <c r="D12" s="410" t="s">
        <v>3</v>
      </c>
      <c r="E12" s="410" t="s">
        <v>469</v>
      </c>
      <c r="F12" s="412"/>
    </row>
    <row r="13" spans="1:6" ht="12.75">
      <c r="A13" s="411"/>
      <c r="B13" s="411"/>
      <c r="C13" s="411"/>
      <c r="D13" s="411"/>
      <c r="E13" s="411"/>
      <c r="F13" s="411"/>
    </row>
    <row r="14" spans="1:6" ht="12.75">
      <c r="A14" s="200">
        <v>1</v>
      </c>
      <c r="B14" s="200">
        <v>2</v>
      </c>
      <c r="C14" s="200">
        <v>3</v>
      </c>
      <c r="D14" s="201">
        <v>4</v>
      </c>
      <c r="E14" s="201">
        <v>5</v>
      </c>
      <c r="F14" s="200">
        <v>6</v>
      </c>
    </row>
    <row r="15" spans="1:6" ht="12.75">
      <c r="A15" s="202" t="s">
        <v>470</v>
      </c>
      <c r="B15" s="202" t="s">
        <v>471</v>
      </c>
      <c r="C15" s="203">
        <f>C16+C17</f>
        <v>-1861324.6500000004</v>
      </c>
      <c r="D15" s="202">
        <f>D16+D17</f>
        <v>8857991</v>
      </c>
      <c r="E15" s="202">
        <f>E16+E17</f>
        <v>8857991</v>
      </c>
      <c r="F15" s="203">
        <f>F16+F17</f>
        <v>6996666.350000001</v>
      </c>
    </row>
    <row r="16" spans="1:6" ht="25.5">
      <c r="A16" s="204">
        <v>208400</v>
      </c>
      <c r="B16" s="205" t="s">
        <v>472</v>
      </c>
      <c r="C16" s="204">
        <f>-270900-50400-400000-10143-175361.75-300000-12000-5599.25-30800-100000-592050.27-265000-235000-793004.28+134760-88200-382524-6222-1000000-42600-180000+1000000-718475-18300-14000-1000000-60000-60000+250000-100000-133135-42000-48233-180000+180000-419000-7200+48233-50000-213000-573920-1767620-20000-15000-5700-46900-12000+46900</f>
        <v>-8784394.55</v>
      </c>
      <c r="D16" s="204">
        <f>E16</f>
        <v>8784394.55</v>
      </c>
      <c r="E16" s="204">
        <f>270900+50400+585504.75+300000+12000+5599.25+100000+30800+592050.27+265000+1028004.28-134760+88200+382524+6222+1000000+42600+180000-1000000+718475+18300+14000+1000000+60000+60000-250000+100000+133135+42000+48233+180000-180000+419000+7200-48233+50000+213000+573920+1767620+20000+15000+5700+46900+12000-46900</f>
        <v>8784394.55</v>
      </c>
      <c r="F16" s="206">
        <f>C16+D16</f>
        <v>0</v>
      </c>
    </row>
    <row r="17" spans="1:6" ht="14.25" customHeight="1">
      <c r="A17" s="204" t="s">
        <v>473</v>
      </c>
      <c r="B17" s="205" t="s">
        <v>474</v>
      </c>
      <c r="C17" s="207">
        <f>611647.75+25000+300000+110000+7000+243026.21+36000+235000+12000+26200+431600+2000+140000+5599.25+5000+600000+108000+30800+40000+347900+120400+50000+215000+1100000+138800+592050.27+793004.28+597042.14</f>
        <v>6923069.9</v>
      </c>
      <c r="D17" s="204">
        <f>E17</f>
        <v>73596.45</v>
      </c>
      <c r="E17" s="204">
        <v>73596.45</v>
      </c>
      <c r="F17" s="206">
        <f>C17+D17</f>
        <v>6996666.350000001</v>
      </c>
    </row>
    <row r="18" spans="1:6" ht="12.75">
      <c r="A18" s="204" t="s">
        <v>475</v>
      </c>
      <c r="B18" s="205" t="s">
        <v>476</v>
      </c>
      <c r="C18" s="207">
        <f>5533023.48+793004.28+597042.14</f>
        <v>6923069.9</v>
      </c>
      <c r="D18" s="204">
        <f>E18</f>
        <v>73596.45</v>
      </c>
      <c r="E18" s="204">
        <v>73596.45</v>
      </c>
      <c r="F18" s="206">
        <f>C18+D18</f>
        <v>6996666.350000001</v>
      </c>
    </row>
    <row r="19" spans="1:6" ht="12.75">
      <c r="A19" s="202"/>
      <c r="B19" s="202" t="s">
        <v>477</v>
      </c>
      <c r="C19" s="202"/>
      <c r="D19" s="202"/>
      <c r="E19" s="202"/>
      <c r="F19" s="208"/>
    </row>
    <row r="20" spans="1:6" ht="12.75">
      <c r="A20" s="202" t="s">
        <v>478</v>
      </c>
      <c r="B20" s="202" t="s">
        <v>479</v>
      </c>
      <c r="C20" s="202">
        <f>C21+C22</f>
        <v>-1861324.6500000004</v>
      </c>
      <c r="D20" s="202">
        <f>D21+D22</f>
        <v>8857991</v>
      </c>
      <c r="E20" s="202">
        <f>E21+E22</f>
        <v>8857991</v>
      </c>
      <c r="F20" s="203">
        <f>F21+F22</f>
        <v>6996666.350000001</v>
      </c>
    </row>
    <row r="21" spans="1:6" ht="25.5">
      <c r="A21" s="204">
        <v>602400</v>
      </c>
      <c r="B21" s="205" t="s">
        <v>472</v>
      </c>
      <c r="C21" s="204">
        <f>-3240258.55+134760-88200-382524-6222-1000000-42600-180000+1000000-718475-18300-14000-1000000-60000-60000+250000-100000-133135-42000-48233-180000+180000-419000-7200+48233-50000-213000-573920-1767620-20000-15000-5700-46900-12000+46900</f>
        <v>-8784394.55</v>
      </c>
      <c r="D21" s="204">
        <f>E21</f>
        <v>8784394.55</v>
      </c>
      <c r="E21" s="204">
        <f>3240258.55-134760+88200+382524+6222+1000000+42600+180000-1000000+718475+18300+14000+1000000+60000+60000-250000+100000+133135+270233-180000+419000+7200-48233+50000+213000+573920+1767620+20000+15000+5700+46900+12000-46900</f>
        <v>8784394.55</v>
      </c>
      <c r="F21" s="209">
        <f>C21+D21</f>
        <v>0</v>
      </c>
    </row>
    <row r="22" spans="1:6" ht="25.5">
      <c r="A22" s="204">
        <v>602100</v>
      </c>
      <c r="B22" s="205" t="s">
        <v>480</v>
      </c>
      <c r="C22" s="207">
        <v>6923069.9</v>
      </c>
      <c r="D22" s="204">
        <f>E22</f>
        <v>73596.45</v>
      </c>
      <c r="E22" s="204">
        <v>73596.45</v>
      </c>
      <c r="F22" s="206">
        <f>C22+D22</f>
        <v>6996666.350000001</v>
      </c>
    </row>
    <row r="23" spans="1:6" ht="25.5">
      <c r="A23" s="204">
        <v>602200</v>
      </c>
      <c r="B23" s="205" t="s">
        <v>481</v>
      </c>
      <c r="C23" s="207">
        <v>6923069.9</v>
      </c>
      <c r="D23" s="204">
        <f>E23</f>
        <v>73596.45</v>
      </c>
      <c r="E23" s="204">
        <v>73596.45</v>
      </c>
      <c r="F23" s="206">
        <f>C23+D23</f>
        <v>6996666.350000001</v>
      </c>
    </row>
    <row r="24" spans="1:6" ht="12.75">
      <c r="A24" s="204"/>
      <c r="B24" s="202" t="s">
        <v>482</v>
      </c>
      <c r="C24" s="203">
        <f>C20</f>
        <v>-1861324.6500000004</v>
      </c>
      <c r="D24" s="202">
        <f>D20</f>
        <v>8857991</v>
      </c>
      <c r="E24" s="202">
        <f>E20</f>
        <v>8857991</v>
      </c>
      <c r="F24" s="208">
        <f>C24+D24</f>
        <v>6996666.35</v>
      </c>
    </row>
    <row r="27" spans="1:7" ht="18.75">
      <c r="A27" s="414" t="s">
        <v>483</v>
      </c>
      <c r="B27" s="414"/>
      <c r="C27" s="23"/>
      <c r="D27" s="26"/>
      <c r="E27" s="26" t="s">
        <v>643</v>
      </c>
      <c r="F27" s="23"/>
      <c r="G27" s="23"/>
    </row>
  </sheetData>
  <sheetProtection/>
  <mergeCells count="12">
    <mergeCell ref="C11:C13"/>
    <mergeCell ref="D12:D13"/>
    <mergeCell ref="A27:B27"/>
    <mergeCell ref="A7:F7"/>
    <mergeCell ref="A11:A13"/>
    <mergeCell ref="B11:B13"/>
    <mergeCell ref="E2:F2"/>
    <mergeCell ref="E3:F3"/>
    <mergeCell ref="E4:F4"/>
    <mergeCell ref="E12:E13"/>
    <mergeCell ref="F11:F13"/>
    <mergeCell ref="D11:E11"/>
  </mergeCells>
  <printOptions/>
  <pageMargins left="0.75" right="0.75" top="1" bottom="1" header="0.5" footer="0.5"/>
  <pageSetup horizontalDpi="600" verticalDpi="600" orientation="landscape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01"/>
  <sheetViews>
    <sheetView tabSelected="1" zoomScale="120" zoomScaleNormal="120" zoomScalePageLayoutView="0" workbookViewId="0" topLeftCell="A105">
      <selection activeCell="H3" sqref="H3:I3"/>
    </sheetView>
  </sheetViews>
  <sheetFormatPr defaultColWidth="9.00390625" defaultRowHeight="12.75"/>
  <cols>
    <col min="1" max="1" width="12.25390625" style="0" customWidth="1"/>
    <col min="2" max="2" width="8.75390625" style="0" customWidth="1"/>
    <col min="3" max="3" width="8.00390625" style="0" customWidth="1"/>
    <col min="4" max="4" width="30.25390625" style="0" customWidth="1"/>
    <col min="5" max="5" width="21.375" style="0" customWidth="1"/>
    <col min="6" max="6" width="11.75390625" style="0" customWidth="1"/>
    <col min="7" max="7" width="12.75390625" style="0" customWidth="1"/>
    <col min="8" max="8" width="13.25390625" style="0" customWidth="1"/>
    <col min="9" max="9" width="12.625" style="0" customWidth="1"/>
  </cols>
  <sheetData>
    <row r="1" spans="8:9" ht="15.75">
      <c r="H1" s="441" t="s">
        <v>484</v>
      </c>
      <c r="I1" s="441"/>
    </row>
    <row r="2" spans="8:9" ht="15.75">
      <c r="H2" s="442" t="s">
        <v>465</v>
      </c>
      <c r="I2" s="442"/>
    </row>
    <row r="3" spans="8:9" ht="15.75">
      <c r="H3" s="441" t="s">
        <v>485</v>
      </c>
      <c r="I3" s="441"/>
    </row>
    <row r="4" spans="1:3" ht="7.5" customHeight="1">
      <c r="A4" s="13"/>
      <c r="B4" s="13"/>
      <c r="C4" s="13"/>
    </row>
    <row r="5" spans="1:9" ht="38.25" customHeight="1">
      <c r="A5" s="436" t="s">
        <v>596</v>
      </c>
      <c r="B5" s="436"/>
      <c r="C5" s="436"/>
      <c r="D5" s="436"/>
      <c r="E5" s="436"/>
      <c r="F5" s="436"/>
      <c r="G5" s="436"/>
      <c r="H5" s="436"/>
      <c r="I5" s="436"/>
    </row>
    <row r="6" spans="1:9" ht="18.75" hidden="1">
      <c r="A6" s="407" t="s">
        <v>486</v>
      </c>
      <c r="B6" s="407"/>
      <c r="C6" s="407"/>
      <c r="D6" s="407"/>
      <c r="E6" s="407"/>
      <c r="F6" s="407"/>
      <c r="G6" s="407"/>
      <c r="H6" s="407"/>
      <c r="I6" s="407"/>
    </row>
    <row r="7" ht="12.75" hidden="1">
      <c r="I7" s="14" t="s">
        <v>11</v>
      </c>
    </row>
    <row r="8" spans="1:9" ht="61.5" customHeight="1">
      <c r="A8" s="431" t="s">
        <v>258</v>
      </c>
      <c r="B8" s="431" t="s">
        <v>224</v>
      </c>
      <c r="C8" s="431" t="s">
        <v>293</v>
      </c>
      <c r="D8" s="119" t="s">
        <v>487</v>
      </c>
      <c r="E8" s="354" t="s">
        <v>488</v>
      </c>
      <c r="F8" s="354" t="s">
        <v>489</v>
      </c>
      <c r="G8" s="354" t="s">
        <v>490</v>
      </c>
      <c r="H8" s="354" t="s">
        <v>491</v>
      </c>
      <c r="I8" s="354" t="s">
        <v>492</v>
      </c>
    </row>
    <row r="9" spans="1:9" ht="53.25" customHeight="1">
      <c r="A9" s="432"/>
      <c r="B9" s="432"/>
      <c r="C9" s="432"/>
      <c r="D9" s="163" t="s">
        <v>624</v>
      </c>
      <c r="E9" s="354"/>
      <c r="F9" s="354"/>
      <c r="G9" s="354"/>
      <c r="H9" s="354"/>
      <c r="I9" s="354"/>
    </row>
    <row r="10" spans="1:9" ht="12.75">
      <c r="A10" s="15">
        <v>1</v>
      </c>
      <c r="B10" s="15"/>
      <c r="C10" s="15"/>
      <c r="D10" s="210">
        <v>2</v>
      </c>
      <c r="E10" s="15">
        <v>3</v>
      </c>
      <c r="F10" s="15">
        <v>4</v>
      </c>
      <c r="G10" s="15">
        <v>5</v>
      </c>
      <c r="H10" s="15">
        <v>6</v>
      </c>
      <c r="I10" s="15">
        <v>7</v>
      </c>
    </row>
    <row r="11" spans="1:9" ht="14.25">
      <c r="A11" s="356" t="s">
        <v>95</v>
      </c>
      <c r="B11" s="357"/>
      <c r="C11" s="358"/>
      <c r="D11" s="7" t="s">
        <v>13</v>
      </c>
      <c r="E11" s="15"/>
      <c r="F11" s="15"/>
      <c r="G11" s="15"/>
      <c r="H11" s="15"/>
      <c r="I11" s="319">
        <f>I12+I21+I14+I19+I15+I22+I23+I18+I24+I17+I16+I13+I20</f>
        <v>1398635</v>
      </c>
    </row>
    <row r="12" spans="1:9" ht="64.5" customHeight="1">
      <c r="A12" s="307" t="s">
        <v>327</v>
      </c>
      <c r="B12" s="307" t="s">
        <v>328</v>
      </c>
      <c r="C12" s="307" t="s">
        <v>295</v>
      </c>
      <c r="D12" s="343" t="s">
        <v>284</v>
      </c>
      <c r="E12" s="328" t="s">
        <v>493</v>
      </c>
      <c r="F12" s="15">
        <v>0</v>
      </c>
      <c r="G12" s="15">
        <v>0</v>
      </c>
      <c r="H12" s="15">
        <v>0</v>
      </c>
      <c r="I12" s="236">
        <f>300000-276865+15000</f>
        <v>38135</v>
      </c>
    </row>
    <row r="13" spans="1:9" ht="30">
      <c r="A13" s="307" t="s">
        <v>551</v>
      </c>
      <c r="B13" s="307" t="s">
        <v>553</v>
      </c>
      <c r="C13" s="307" t="s">
        <v>230</v>
      </c>
      <c r="D13" s="332" t="s">
        <v>554</v>
      </c>
      <c r="E13" s="328" t="s">
        <v>493</v>
      </c>
      <c r="F13" s="15">
        <v>0</v>
      </c>
      <c r="G13" s="15">
        <v>0</v>
      </c>
      <c r="H13" s="15">
        <v>0</v>
      </c>
      <c r="I13" s="27">
        <v>14000</v>
      </c>
    </row>
    <row r="14" spans="1:9" ht="92.25" customHeight="1">
      <c r="A14" s="196" t="s">
        <v>612</v>
      </c>
      <c r="B14" s="196" t="s">
        <v>556</v>
      </c>
      <c r="C14" s="196" t="s">
        <v>230</v>
      </c>
      <c r="D14" s="331" t="s">
        <v>561</v>
      </c>
      <c r="E14" s="328" t="s">
        <v>493</v>
      </c>
      <c r="F14" s="15">
        <v>0</v>
      </c>
      <c r="G14" s="15">
        <v>0</v>
      </c>
      <c r="H14" s="15">
        <v>0</v>
      </c>
      <c r="I14" s="27">
        <f>400000+12000</f>
        <v>412000</v>
      </c>
    </row>
    <row r="15" spans="1:9" ht="63.75" customHeight="1" hidden="1">
      <c r="A15" s="196" t="s">
        <v>612</v>
      </c>
      <c r="B15" s="196" t="s">
        <v>556</v>
      </c>
      <c r="C15" s="196" t="s">
        <v>230</v>
      </c>
      <c r="D15" s="331" t="s">
        <v>561</v>
      </c>
      <c r="E15" s="328" t="s">
        <v>493</v>
      </c>
      <c r="F15" s="15">
        <v>0</v>
      </c>
      <c r="G15" s="15">
        <v>0</v>
      </c>
      <c r="H15" s="15">
        <v>0</v>
      </c>
      <c r="I15" s="320"/>
    </row>
    <row r="16" spans="1:9" ht="75">
      <c r="A16" s="196" t="s">
        <v>452</v>
      </c>
      <c r="B16" s="305" t="s">
        <v>421</v>
      </c>
      <c r="C16" s="305" t="s">
        <v>422</v>
      </c>
      <c r="D16" s="332" t="s">
        <v>423</v>
      </c>
      <c r="E16" s="328" t="s">
        <v>493</v>
      </c>
      <c r="F16" s="15">
        <v>0</v>
      </c>
      <c r="G16" s="15">
        <v>0</v>
      </c>
      <c r="H16" s="15">
        <v>0</v>
      </c>
      <c r="I16" s="27">
        <v>160000</v>
      </c>
    </row>
    <row r="17" spans="1:9" ht="38.25" customHeight="1">
      <c r="A17" s="309" t="s">
        <v>420</v>
      </c>
      <c r="B17" s="305" t="s">
        <v>288</v>
      </c>
      <c r="C17" s="305" t="s">
        <v>296</v>
      </c>
      <c r="D17" s="332" t="s">
        <v>263</v>
      </c>
      <c r="E17" s="328" t="s">
        <v>493</v>
      </c>
      <c r="F17" s="15">
        <v>0</v>
      </c>
      <c r="G17" s="15">
        <v>0</v>
      </c>
      <c r="H17" s="15">
        <v>0</v>
      </c>
      <c r="I17" s="27">
        <f>270900+50400+265000+88200+100000</f>
        <v>774500</v>
      </c>
    </row>
    <row r="18" spans="1:9" ht="15" customHeight="1" hidden="1">
      <c r="A18" s="85" t="s">
        <v>494</v>
      </c>
      <c r="B18" s="83" t="s">
        <v>289</v>
      </c>
      <c r="C18" s="83" t="s">
        <v>495</v>
      </c>
      <c r="D18" s="9" t="s">
        <v>264</v>
      </c>
      <c r="E18" s="328" t="s">
        <v>493</v>
      </c>
      <c r="F18" s="15">
        <v>0</v>
      </c>
      <c r="G18" s="15">
        <v>0</v>
      </c>
      <c r="H18" s="15">
        <v>0</v>
      </c>
      <c r="I18" s="320"/>
    </row>
    <row r="19" spans="1:9" ht="48" hidden="1">
      <c r="A19" s="83" t="s">
        <v>452</v>
      </c>
      <c r="B19" s="83" t="s">
        <v>421</v>
      </c>
      <c r="C19" s="83" t="s">
        <v>422</v>
      </c>
      <c r="D19" s="116" t="s">
        <v>423</v>
      </c>
      <c r="E19" s="328" t="s">
        <v>493</v>
      </c>
      <c r="F19" s="15">
        <v>0</v>
      </c>
      <c r="G19" s="15">
        <v>0</v>
      </c>
      <c r="H19" s="15">
        <v>0</v>
      </c>
      <c r="I19" s="27"/>
    </row>
    <row r="20" spans="1:9" ht="15" hidden="1">
      <c r="A20" s="83" t="s">
        <v>133</v>
      </c>
      <c r="B20" s="83" t="s">
        <v>287</v>
      </c>
      <c r="C20" s="83" t="s">
        <v>236</v>
      </c>
      <c r="D20" s="9" t="s">
        <v>14</v>
      </c>
      <c r="E20" s="328" t="s">
        <v>493</v>
      </c>
      <c r="F20" s="15">
        <v>0</v>
      </c>
      <c r="G20" s="15">
        <v>0</v>
      </c>
      <c r="H20" s="15">
        <v>0</v>
      </c>
      <c r="I20" s="27"/>
    </row>
    <row r="21" spans="1:9" ht="15" hidden="1">
      <c r="A21" s="107" t="s">
        <v>261</v>
      </c>
      <c r="B21" s="83" t="s">
        <v>306</v>
      </c>
      <c r="C21" s="83" t="s">
        <v>230</v>
      </c>
      <c r="D21" s="91" t="s">
        <v>305</v>
      </c>
      <c r="E21" s="328" t="s">
        <v>493</v>
      </c>
      <c r="F21" s="15">
        <v>0</v>
      </c>
      <c r="G21" s="15">
        <v>0</v>
      </c>
      <c r="H21" s="15">
        <v>0</v>
      </c>
      <c r="I21" s="27"/>
    </row>
    <row r="22" spans="1:9" ht="22.5" hidden="1">
      <c r="A22" s="83" t="s">
        <v>496</v>
      </c>
      <c r="B22" s="83"/>
      <c r="C22" s="83"/>
      <c r="D22" s="9" t="s">
        <v>497</v>
      </c>
      <c r="E22" s="328" t="s">
        <v>493</v>
      </c>
      <c r="F22" s="15"/>
      <c r="G22" s="15"/>
      <c r="H22" s="15"/>
      <c r="I22" s="27"/>
    </row>
    <row r="23" spans="1:9" ht="15" hidden="1">
      <c r="A23" s="86" t="s">
        <v>498</v>
      </c>
      <c r="B23" s="86"/>
      <c r="C23" s="86"/>
      <c r="D23" s="9" t="s">
        <v>14</v>
      </c>
      <c r="E23" s="328" t="s">
        <v>493</v>
      </c>
      <c r="F23" s="15"/>
      <c r="G23" s="15"/>
      <c r="H23" s="15"/>
      <c r="I23" s="27"/>
    </row>
    <row r="24" spans="1:9" ht="15.75" customHeight="1" hidden="1">
      <c r="A24" s="83" t="s">
        <v>498</v>
      </c>
      <c r="B24" s="86"/>
      <c r="C24" s="86"/>
      <c r="D24" s="9" t="s">
        <v>14</v>
      </c>
      <c r="E24" s="329" t="s">
        <v>493</v>
      </c>
      <c r="F24" s="15">
        <v>0</v>
      </c>
      <c r="G24" s="15">
        <v>0</v>
      </c>
      <c r="H24" s="15">
        <v>0</v>
      </c>
      <c r="I24" s="27"/>
    </row>
    <row r="25" spans="1:9" ht="28.5" hidden="1">
      <c r="A25" s="356" t="s">
        <v>499</v>
      </c>
      <c r="B25" s="357"/>
      <c r="C25" s="358"/>
      <c r="D25" s="214" t="s">
        <v>15</v>
      </c>
      <c r="E25" s="330"/>
      <c r="F25" s="15"/>
      <c r="G25" s="15"/>
      <c r="H25" s="15"/>
      <c r="I25" s="321">
        <f>I40+I41+I42</f>
        <v>0</v>
      </c>
    </row>
    <row r="26" spans="1:9" ht="33.75" hidden="1">
      <c r="A26" s="86" t="s">
        <v>500</v>
      </c>
      <c r="B26" s="86"/>
      <c r="C26" s="86"/>
      <c r="D26" s="9" t="s">
        <v>501</v>
      </c>
      <c r="E26" s="328" t="s">
        <v>493</v>
      </c>
      <c r="F26" s="15">
        <v>0</v>
      </c>
      <c r="G26" s="15">
        <v>0</v>
      </c>
      <c r="H26" s="15">
        <v>0</v>
      </c>
      <c r="I26" s="27">
        <v>0</v>
      </c>
    </row>
    <row r="27" spans="1:9" ht="45" hidden="1">
      <c r="A27" s="429" t="s">
        <v>47</v>
      </c>
      <c r="B27" s="215"/>
      <c r="C27" s="215"/>
      <c r="D27" s="426" t="s">
        <v>48</v>
      </c>
      <c r="E27" s="328" t="s">
        <v>502</v>
      </c>
      <c r="F27" s="15"/>
      <c r="G27" s="15">
        <v>0</v>
      </c>
      <c r="H27" s="15"/>
      <c r="I27" s="27">
        <f>6800000-6800000</f>
        <v>0</v>
      </c>
    </row>
    <row r="28" spans="1:9" ht="15" hidden="1">
      <c r="A28" s="430"/>
      <c r="B28" s="216"/>
      <c r="C28" s="216"/>
      <c r="D28" s="428"/>
      <c r="E28" s="328"/>
      <c r="F28" s="15"/>
      <c r="G28" s="15"/>
      <c r="H28" s="15"/>
      <c r="I28" s="27">
        <f>80000+100000-180000</f>
        <v>0</v>
      </c>
    </row>
    <row r="29" spans="1:9" ht="21" hidden="1">
      <c r="A29" s="86"/>
      <c r="B29" s="86"/>
      <c r="C29" s="86"/>
      <c r="D29" s="10" t="s">
        <v>16</v>
      </c>
      <c r="E29" s="330"/>
      <c r="F29" s="15"/>
      <c r="G29" s="15"/>
      <c r="H29" s="15"/>
      <c r="I29" s="321"/>
    </row>
    <row r="30" spans="1:9" ht="15" hidden="1">
      <c r="A30" s="86" t="s">
        <v>17</v>
      </c>
      <c r="B30" s="86"/>
      <c r="C30" s="86"/>
      <c r="D30" s="11" t="s">
        <v>18</v>
      </c>
      <c r="E30" s="328" t="s">
        <v>493</v>
      </c>
      <c r="F30" s="15">
        <v>0</v>
      </c>
      <c r="G30" s="15">
        <v>0</v>
      </c>
      <c r="H30" s="15">
        <v>0</v>
      </c>
      <c r="I30" s="27"/>
    </row>
    <row r="31" spans="1:9" ht="45.75" hidden="1">
      <c r="A31" s="217" t="s">
        <v>503</v>
      </c>
      <c r="B31" s="217"/>
      <c r="C31" s="217"/>
      <c r="D31" s="218" t="s">
        <v>504</v>
      </c>
      <c r="E31" s="328" t="s">
        <v>493</v>
      </c>
      <c r="F31" s="15">
        <v>0</v>
      </c>
      <c r="G31" s="15">
        <v>0</v>
      </c>
      <c r="H31" s="15">
        <v>0</v>
      </c>
      <c r="I31" s="27"/>
    </row>
    <row r="32" spans="1:9" ht="23.25" hidden="1">
      <c r="A32" s="217" t="s">
        <v>496</v>
      </c>
      <c r="B32" s="217"/>
      <c r="C32" s="217"/>
      <c r="D32" s="218" t="s">
        <v>497</v>
      </c>
      <c r="E32" s="328" t="s">
        <v>493</v>
      </c>
      <c r="F32" s="15"/>
      <c r="G32" s="15"/>
      <c r="H32" s="15"/>
      <c r="I32" s="27"/>
    </row>
    <row r="33" spans="1:9" ht="15" hidden="1">
      <c r="A33" s="86" t="s">
        <v>505</v>
      </c>
      <c r="B33" s="86"/>
      <c r="C33" s="86"/>
      <c r="D33" s="9" t="s">
        <v>506</v>
      </c>
      <c r="E33" s="328" t="s">
        <v>493</v>
      </c>
      <c r="F33" s="15">
        <v>0</v>
      </c>
      <c r="G33" s="15">
        <v>0</v>
      </c>
      <c r="H33" s="15">
        <v>0</v>
      </c>
      <c r="I33" s="27"/>
    </row>
    <row r="34" spans="1:9" ht="33.75" hidden="1">
      <c r="A34" s="86" t="s">
        <v>101</v>
      </c>
      <c r="B34" s="86"/>
      <c r="C34" s="86"/>
      <c r="D34" s="9" t="s">
        <v>507</v>
      </c>
      <c r="E34" s="328" t="s">
        <v>493</v>
      </c>
      <c r="F34" s="15">
        <v>0</v>
      </c>
      <c r="G34" s="15">
        <v>0</v>
      </c>
      <c r="H34" s="15">
        <v>0</v>
      </c>
      <c r="I34" s="27">
        <f>8500-8500</f>
        <v>0</v>
      </c>
    </row>
    <row r="35" spans="1:9" ht="60" hidden="1">
      <c r="A35" s="86" t="s">
        <v>47</v>
      </c>
      <c r="B35" s="86"/>
      <c r="C35" s="86"/>
      <c r="D35" s="219" t="s">
        <v>48</v>
      </c>
      <c r="E35" s="328" t="s">
        <v>508</v>
      </c>
      <c r="F35" s="15"/>
      <c r="G35" s="15">
        <v>100</v>
      </c>
      <c r="H35" s="15">
        <v>0</v>
      </c>
      <c r="I35" s="27"/>
    </row>
    <row r="36" spans="1:9" ht="45" hidden="1">
      <c r="A36" s="86"/>
      <c r="B36" s="86"/>
      <c r="C36" s="86"/>
      <c r="D36" s="219"/>
      <c r="E36" s="330" t="s">
        <v>509</v>
      </c>
      <c r="F36" s="15"/>
      <c r="G36" s="15">
        <v>100</v>
      </c>
      <c r="H36" s="15">
        <v>0</v>
      </c>
      <c r="I36" s="27">
        <v>0</v>
      </c>
    </row>
    <row r="37" spans="1:9" ht="75" hidden="1">
      <c r="A37" s="86"/>
      <c r="B37" s="86"/>
      <c r="C37" s="86"/>
      <c r="D37" s="219"/>
      <c r="E37" s="330" t="s">
        <v>510</v>
      </c>
      <c r="F37" s="15"/>
      <c r="G37" s="15">
        <v>100</v>
      </c>
      <c r="H37" s="15">
        <v>0</v>
      </c>
      <c r="I37" s="27">
        <v>0</v>
      </c>
    </row>
    <row r="38" spans="1:9" ht="75" hidden="1">
      <c r="A38" s="86"/>
      <c r="B38" s="86"/>
      <c r="C38" s="86"/>
      <c r="D38" s="219"/>
      <c r="E38" s="330" t="s">
        <v>511</v>
      </c>
      <c r="F38" s="15"/>
      <c r="G38" s="15">
        <v>100</v>
      </c>
      <c r="H38" s="15">
        <v>0</v>
      </c>
      <c r="I38" s="27">
        <v>0</v>
      </c>
    </row>
    <row r="39" spans="1:9" ht="28.5" hidden="1">
      <c r="A39" s="356" t="s">
        <v>324</v>
      </c>
      <c r="B39" s="357"/>
      <c r="C39" s="358"/>
      <c r="D39" s="7" t="s">
        <v>15</v>
      </c>
      <c r="E39" s="330"/>
      <c r="F39" s="15"/>
      <c r="G39" s="15"/>
      <c r="H39" s="15"/>
      <c r="I39" s="321">
        <f>I41</f>
        <v>0</v>
      </c>
    </row>
    <row r="40" spans="1:9" ht="15" hidden="1">
      <c r="A40" s="83" t="s">
        <v>141</v>
      </c>
      <c r="B40" s="83" t="s">
        <v>287</v>
      </c>
      <c r="C40" s="83" t="s">
        <v>236</v>
      </c>
      <c r="D40" s="220" t="s">
        <v>512</v>
      </c>
      <c r="E40" s="330" t="s">
        <v>493</v>
      </c>
      <c r="F40" s="15">
        <v>0</v>
      </c>
      <c r="G40" s="15">
        <v>0</v>
      </c>
      <c r="H40" s="15">
        <v>0</v>
      </c>
      <c r="I40" s="27"/>
    </row>
    <row r="41" spans="1:9" ht="36" hidden="1">
      <c r="A41" s="124" t="s">
        <v>334</v>
      </c>
      <c r="B41" s="124" t="s">
        <v>335</v>
      </c>
      <c r="C41" s="124" t="s">
        <v>336</v>
      </c>
      <c r="D41" s="125" t="s">
        <v>337</v>
      </c>
      <c r="E41" s="328" t="s">
        <v>493</v>
      </c>
      <c r="F41" s="15">
        <v>0</v>
      </c>
      <c r="G41" s="15">
        <v>0</v>
      </c>
      <c r="H41" s="15">
        <v>0</v>
      </c>
      <c r="I41" s="27"/>
    </row>
    <row r="42" spans="1:9" ht="15" hidden="1">
      <c r="A42" s="83" t="s">
        <v>513</v>
      </c>
      <c r="B42" s="83"/>
      <c r="C42" s="83"/>
      <c r="D42" s="219" t="s">
        <v>514</v>
      </c>
      <c r="E42" s="328" t="s">
        <v>515</v>
      </c>
      <c r="F42" s="15">
        <v>0</v>
      </c>
      <c r="G42" s="15">
        <v>0</v>
      </c>
      <c r="H42" s="15">
        <v>0</v>
      </c>
      <c r="I42" s="27"/>
    </row>
    <row r="43" spans="1:9" ht="42.75">
      <c r="A43" s="356" t="s">
        <v>325</v>
      </c>
      <c r="B43" s="357"/>
      <c r="C43" s="358"/>
      <c r="D43" s="7" t="s">
        <v>585</v>
      </c>
      <c r="E43" s="330"/>
      <c r="F43" s="15"/>
      <c r="G43" s="15">
        <f>G48</f>
        <v>0</v>
      </c>
      <c r="H43" s="15">
        <f>H48+H51+H57</f>
        <v>0</v>
      </c>
      <c r="I43" s="319">
        <f>I44+I62+I63+I65+I54+I60+I66+I64</f>
        <v>5350339.55</v>
      </c>
    </row>
    <row r="44" spans="1:9" ht="120">
      <c r="A44" s="305" t="s">
        <v>340</v>
      </c>
      <c r="B44" s="305" t="s">
        <v>290</v>
      </c>
      <c r="C44" s="305" t="s">
        <v>228</v>
      </c>
      <c r="D44" s="333" t="s">
        <v>266</v>
      </c>
      <c r="E44" s="328" t="s">
        <v>493</v>
      </c>
      <c r="F44" s="15">
        <v>0</v>
      </c>
      <c r="G44" s="15">
        <v>0</v>
      </c>
      <c r="H44" s="15">
        <v>0</v>
      </c>
      <c r="I44" s="322">
        <f>25000+567050.27+100000+1028004.28-134760+382524+6222+1000000+42600+180000-1000000+718475+1000000+60000+30000+30000+42000+180000-180000+419000+7200+573920+20000+46900-46900</f>
        <v>5097235.55</v>
      </c>
    </row>
    <row r="45" spans="1:9" ht="45" hidden="1">
      <c r="A45" s="310" t="s">
        <v>516</v>
      </c>
      <c r="B45" s="311"/>
      <c r="C45" s="311"/>
      <c r="D45" s="333" t="s">
        <v>517</v>
      </c>
      <c r="E45" s="328" t="s">
        <v>493</v>
      </c>
      <c r="F45" s="15">
        <v>0</v>
      </c>
      <c r="G45" s="15">
        <v>0</v>
      </c>
      <c r="H45" s="15">
        <v>0</v>
      </c>
      <c r="I45" s="27"/>
    </row>
    <row r="46" spans="1:9" ht="45" hidden="1">
      <c r="A46" s="305" t="s">
        <v>101</v>
      </c>
      <c r="B46" s="305"/>
      <c r="C46" s="305"/>
      <c r="D46" s="333" t="s">
        <v>507</v>
      </c>
      <c r="E46" s="328" t="s">
        <v>493</v>
      </c>
      <c r="F46" s="15">
        <v>0</v>
      </c>
      <c r="G46" s="15">
        <v>0</v>
      </c>
      <c r="H46" s="15">
        <v>0</v>
      </c>
      <c r="I46" s="27"/>
    </row>
    <row r="47" spans="1:9" ht="60" hidden="1">
      <c r="A47" s="311" t="s">
        <v>516</v>
      </c>
      <c r="B47" s="311"/>
      <c r="C47" s="311"/>
      <c r="D47" s="333" t="s">
        <v>34</v>
      </c>
      <c r="E47" s="328" t="s">
        <v>493</v>
      </c>
      <c r="F47" s="15">
        <v>0</v>
      </c>
      <c r="G47" s="15">
        <v>0</v>
      </c>
      <c r="H47" s="15">
        <v>0</v>
      </c>
      <c r="I47" s="27"/>
    </row>
    <row r="48" spans="1:9" ht="15" hidden="1">
      <c r="A48" s="312" t="s">
        <v>47</v>
      </c>
      <c r="B48" s="307"/>
      <c r="C48" s="307"/>
      <c r="D48" s="334" t="s">
        <v>48</v>
      </c>
      <c r="E48" s="328" t="s">
        <v>493</v>
      </c>
      <c r="F48" s="15">
        <v>0</v>
      </c>
      <c r="G48" s="15">
        <v>0</v>
      </c>
      <c r="H48" s="15">
        <v>0</v>
      </c>
      <c r="I48" s="27"/>
    </row>
    <row r="49" spans="1:9" ht="15" hidden="1">
      <c r="A49" s="313"/>
      <c r="B49" s="305" t="s">
        <v>230</v>
      </c>
      <c r="C49" s="314"/>
      <c r="D49" s="335"/>
      <c r="E49" s="328" t="s">
        <v>493</v>
      </c>
      <c r="F49" s="15">
        <v>0</v>
      </c>
      <c r="G49" s="15">
        <v>0</v>
      </c>
      <c r="H49" s="15">
        <v>0</v>
      </c>
      <c r="I49" s="27"/>
    </row>
    <row r="50" spans="1:9" ht="15" hidden="1">
      <c r="A50" s="313"/>
      <c r="B50" s="305" t="s">
        <v>230</v>
      </c>
      <c r="C50" s="314"/>
      <c r="D50" s="335"/>
      <c r="E50" s="328" t="s">
        <v>493</v>
      </c>
      <c r="F50" s="15">
        <v>0</v>
      </c>
      <c r="G50" s="15">
        <v>0</v>
      </c>
      <c r="H50" s="15">
        <v>0</v>
      </c>
      <c r="I50" s="27"/>
    </row>
    <row r="51" spans="1:9" ht="15" hidden="1">
      <c r="A51" s="313"/>
      <c r="B51" s="305"/>
      <c r="C51" s="314"/>
      <c r="D51" s="335"/>
      <c r="E51" s="328" t="s">
        <v>493</v>
      </c>
      <c r="F51" s="15">
        <v>0</v>
      </c>
      <c r="G51" s="15">
        <v>0</v>
      </c>
      <c r="H51" s="15">
        <v>0</v>
      </c>
      <c r="I51" s="27"/>
    </row>
    <row r="52" spans="1:9" ht="15" hidden="1">
      <c r="A52" s="313"/>
      <c r="B52" s="305"/>
      <c r="C52" s="314"/>
      <c r="D52" s="335"/>
      <c r="E52" s="328" t="s">
        <v>493</v>
      </c>
      <c r="F52" s="15"/>
      <c r="G52" s="15">
        <v>0</v>
      </c>
      <c r="H52" s="15">
        <v>0</v>
      </c>
      <c r="I52" s="27"/>
    </row>
    <row r="53" spans="1:9" ht="15" hidden="1">
      <c r="A53" s="313"/>
      <c r="B53" s="305"/>
      <c r="C53" s="314"/>
      <c r="D53" s="335"/>
      <c r="E53" s="328" t="s">
        <v>493</v>
      </c>
      <c r="F53" s="15"/>
      <c r="G53" s="15">
        <v>100</v>
      </c>
      <c r="H53" s="15">
        <v>0</v>
      </c>
      <c r="I53" s="27"/>
    </row>
    <row r="54" spans="1:9" ht="30" hidden="1">
      <c r="A54" s="305" t="s">
        <v>158</v>
      </c>
      <c r="B54" s="305" t="s">
        <v>518</v>
      </c>
      <c r="C54" s="306" t="s">
        <v>298</v>
      </c>
      <c r="D54" s="333" t="s">
        <v>519</v>
      </c>
      <c r="E54" s="328" t="s">
        <v>493</v>
      </c>
      <c r="F54" s="15">
        <v>0</v>
      </c>
      <c r="G54" s="15">
        <v>0</v>
      </c>
      <c r="H54" s="15">
        <v>0</v>
      </c>
      <c r="I54" s="27"/>
    </row>
    <row r="55" spans="1:9" ht="45" hidden="1">
      <c r="A55" s="313"/>
      <c r="B55" s="305" t="s">
        <v>230</v>
      </c>
      <c r="C55" s="314"/>
      <c r="D55" s="335"/>
      <c r="E55" s="328" t="s">
        <v>520</v>
      </c>
      <c r="F55" s="15">
        <v>0</v>
      </c>
      <c r="G55" s="15">
        <v>100</v>
      </c>
      <c r="H55" s="15">
        <v>0</v>
      </c>
      <c r="I55" s="27"/>
    </row>
    <row r="56" spans="1:9" ht="75" hidden="1">
      <c r="A56" s="313"/>
      <c r="B56" s="305" t="s">
        <v>230</v>
      </c>
      <c r="C56" s="314"/>
      <c r="D56" s="335"/>
      <c r="E56" s="328" t="s">
        <v>521</v>
      </c>
      <c r="F56" s="15">
        <v>0</v>
      </c>
      <c r="G56" s="15">
        <v>100</v>
      </c>
      <c r="H56" s="15">
        <v>0</v>
      </c>
      <c r="I56" s="27"/>
    </row>
    <row r="57" spans="1:9" ht="60" hidden="1">
      <c r="A57" s="315"/>
      <c r="B57" s="308"/>
      <c r="C57" s="308"/>
      <c r="D57" s="336"/>
      <c r="E57" s="328" t="s">
        <v>522</v>
      </c>
      <c r="F57" s="15"/>
      <c r="G57" s="15">
        <v>100</v>
      </c>
      <c r="H57" s="15">
        <v>0</v>
      </c>
      <c r="I57" s="27"/>
    </row>
    <row r="58" spans="1:9" ht="45" hidden="1">
      <c r="A58" s="316"/>
      <c r="B58" s="316"/>
      <c r="C58" s="316"/>
      <c r="D58" s="337"/>
      <c r="E58" s="328" t="s">
        <v>523</v>
      </c>
      <c r="F58" s="15"/>
      <c r="G58" s="15"/>
      <c r="H58" s="15"/>
      <c r="I58" s="27"/>
    </row>
    <row r="59" spans="1:9" ht="45.75" hidden="1" thickBot="1">
      <c r="A59" s="317"/>
      <c r="B59" s="317"/>
      <c r="C59" s="317"/>
      <c r="D59" s="337"/>
      <c r="E59" s="328" t="s">
        <v>524</v>
      </c>
      <c r="F59" s="15"/>
      <c r="G59" s="15"/>
      <c r="H59" s="15"/>
      <c r="I59" s="27"/>
    </row>
    <row r="60" spans="1:9" ht="60">
      <c r="A60" s="196" t="s">
        <v>341</v>
      </c>
      <c r="B60" s="196" t="s">
        <v>291</v>
      </c>
      <c r="C60" s="196" t="s">
        <v>297</v>
      </c>
      <c r="D60" s="338" t="s">
        <v>267</v>
      </c>
      <c r="E60" s="328" t="s">
        <v>493</v>
      </c>
      <c r="F60" s="15">
        <v>0</v>
      </c>
      <c r="G60" s="15">
        <v>0</v>
      </c>
      <c r="H60" s="15">
        <v>0</v>
      </c>
      <c r="I60" s="27">
        <v>12000</v>
      </c>
    </row>
    <row r="61" spans="1:9" ht="28.5" hidden="1">
      <c r="A61" s="308" t="s">
        <v>499</v>
      </c>
      <c r="B61" s="308"/>
      <c r="C61" s="308"/>
      <c r="D61" s="214" t="s">
        <v>15</v>
      </c>
      <c r="E61" s="328"/>
      <c r="F61" s="15"/>
      <c r="G61" s="15"/>
      <c r="H61" s="15"/>
      <c r="I61" s="27"/>
    </row>
    <row r="62" spans="1:9" ht="60" hidden="1">
      <c r="A62" s="419" t="s">
        <v>348</v>
      </c>
      <c r="B62" s="433" t="s">
        <v>349</v>
      </c>
      <c r="C62" s="433" t="s">
        <v>350</v>
      </c>
      <c r="D62" s="416" t="s">
        <v>351</v>
      </c>
      <c r="E62" s="329" t="s">
        <v>587</v>
      </c>
      <c r="F62" s="15">
        <v>0</v>
      </c>
      <c r="G62" s="15">
        <v>0</v>
      </c>
      <c r="H62" s="15">
        <v>0</v>
      </c>
      <c r="I62" s="27"/>
    </row>
    <row r="63" spans="1:9" ht="75" hidden="1">
      <c r="A63" s="417"/>
      <c r="B63" s="434"/>
      <c r="C63" s="434"/>
      <c r="D63" s="417"/>
      <c r="E63" s="329" t="s">
        <v>573</v>
      </c>
      <c r="F63" s="15">
        <v>0</v>
      </c>
      <c r="G63" s="15">
        <v>0</v>
      </c>
      <c r="H63" s="15">
        <v>0</v>
      </c>
      <c r="I63" s="27"/>
    </row>
    <row r="64" spans="1:9" ht="105" hidden="1">
      <c r="A64" s="417"/>
      <c r="B64" s="434"/>
      <c r="C64" s="434"/>
      <c r="D64" s="417"/>
      <c r="E64" s="329" t="s">
        <v>586</v>
      </c>
      <c r="F64" s="15">
        <v>0</v>
      </c>
      <c r="G64" s="15">
        <v>0</v>
      </c>
      <c r="H64" s="15">
        <v>0</v>
      </c>
      <c r="I64" s="27"/>
    </row>
    <row r="65" spans="1:9" s="76" customFormat="1" ht="75">
      <c r="A65" s="418"/>
      <c r="B65" s="435"/>
      <c r="C65" s="435"/>
      <c r="D65" s="418"/>
      <c r="E65" s="347" t="s">
        <v>630</v>
      </c>
      <c r="F65" s="94">
        <v>0</v>
      </c>
      <c r="G65" s="94">
        <v>0</v>
      </c>
      <c r="H65" s="94">
        <v>0</v>
      </c>
      <c r="I65" s="236">
        <f>48233-48233+50000</f>
        <v>50000</v>
      </c>
    </row>
    <row r="66" spans="1:9" s="76" customFormat="1" ht="90">
      <c r="A66" s="196" t="s">
        <v>555</v>
      </c>
      <c r="B66" s="196" t="s">
        <v>556</v>
      </c>
      <c r="C66" s="196" t="s">
        <v>556</v>
      </c>
      <c r="D66" s="331" t="s">
        <v>561</v>
      </c>
      <c r="E66" s="328" t="s">
        <v>493</v>
      </c>
      <c r="F66" s="94">
        <v>0</v>
      </c>
      <c r="G66" s="94">
        <v>0</v>
      </c>
      <c r="H66" s="94">
        <v>0</v>
      </c>
      <c r="I66" s="236">
        <f>10143+175361.75+5599.25</f>
        <v>191104</v>
      </c>
    </row>
    <row r="67" spans="1:9" s="76" customFormat="1" ht="15" hidden="1">
      <c r="A67" s="230"/>
      <c r="B67" s="231"/>
      <c r="C67" s="232"/>
      <c r="D67" s="227"/>
      <c r="E67" s="329"/>
      <c r="F67" s="94"/>
      <c r="G67" s="94"/>
      <c r="H67" s="94"/>
      <c r="I67" s="236"/>
    </row>
    <row r="68" spans="1:9" ht="42.75">
      <c r="A68" s="356" t="s">
        <v>326</v>
      </c>
      <c r="B68" s="357"/>
      <c r="C68" s="358"/>
      <c r="D68" s="7" t="s">
        <v>525</v>
      </c>
      <c r="E68" s="330"/>
      <c r="F68" s="15">
        <v>0</v>
      </c>
      <c r="G68" s="15">
        <f>G72</f>
        <v>0</v>
      </c>
      <c r="H68" s="15">
        <f>H72</f>
        <v>0</v>
      </c>
      <c r="I68" s="321">
        <f>I70+I71+I72+I69+I73+I74+I75+I88</f>
        <v>1822420</v>
      </c>
    </row>
    <row r="69" spans="1:9" ht="90">
      <c r="A69" s="318" t="s">
        <v>378</v>
      </c>
      <c r="B69" s="89">
        <v>3104</v>
      </c>
      <c r="C69" s="89">
        <v>1020</v>
      </c>
      <c r="D69" s="333" t="s">
        <v>282</v>
      </c>
      <c r="E69" s="328" t="s">
        <v>493</v>
      </c>
      <c r="F69" s="15">
        <v>0</v>
      </c>
      <c r="G69" s="15">
        <v>0</v>
      </c>
      <c r="H69" s="15">
        <v>0</v>
      </c>
      <c r="I69" s="27">
        <v>30800</v>
      </c>
    </row>
    <row r="70" spans="1:9" ht="45">
      <c r="A70" s="318" t="s">
        <v>446</v>
      </c>
      <c r="B70" s="89">
        <v>3242</v>
      </c>
      <c r="C70" s="89">
        <v>1090</v>
      </c>
      <c r="D70" s="338" t="s">
        <v>447</v>
      </c>
      <c r="E70" s="328" t="s">
        <v>493</v>
      </c>
      <c r="F70" s="15">
        <v>0</v>
      </c>
      <c r="G70" s="15">
        <v>0</v>
      </c>
      <c r="H70" s="15">
        <v>0</v>
      </c>
      <c r="I70" s="323">
        <f>18300+5700</f>
        <v>24000</v>
      </c>
    </row>
    <row r="71" spans="1:9" ht="33.75" hidden="1">
      <c r="A71" s="88" t="s">
        <v>526</v>
      </c>
      <c r="B71" s="87"/>
      <c r="C71" s="87"/>
      <c r="D71" s="6" t="s">
        <v>527</v>
      </c>
      <c r="E71" s="328" t="s">
        <v>493</v>
      </c>
      <c r="F71" s="15"/>
      <c r="G71" s="15"/>
      <c r="H71" s="15"/>
      <c r="I71" s="323"/>
    </row>
    <row r="72" spans="1:9" ht="60" hidden="1">
      <c r="A72" s="83" t="s">
        <v>47</v>
      </c>
      <c r="B72" s="86"/>
      <c r="C72" s="86"/>
      <c r="D72" s="6" t="s">
        <v>48</v>
      </c>
      <c r="E72" s="328" t="s">
        <v>528</v>
      </c>
      <c r="F72" s="15"/>
      <c r="G72" s="15"/>
      <c r="H72" s="15"/>
      <c r="I72" s="323"/>
    </row>
    <row r="73" spans="1:9" ht="78.75" hidden="1">
      <c r="A73" s="88">
        <v>1513031</v>
      </c>
      <c r="B73" s="88">
        <v>3031</v>
      </c>
      <c r="C73" s="88">
        <v>1030</v>
      </c>
      <c r="D73" s="6" t="s">
        <v>529</v>
      </c>
      <c r="E73" s="328" t="s">
        <v>493</v>
      </c>
      <c r="F73" s="15">
        <v>0</v>
      </c>
      <c r="G73" s="15">
        <v>0</v>
      </c>
      <c r="H73" s="15">
        <v>0</v>
      </c>
      <c r="I73" s="323">
        <f>52000-32000-20000</f>
        <v>0</v>
      </c>
    </row>
    <row r="74" spans="1:9" ht="195" hidden="1">
      <c r="A74" s="87">
        <v>150118</v>
      </c>
      <c r="B74" s="87"/>
      <c r="C74" s="87"/>
      <c r="D74" s="6" t="s">
        <v>530</v>
      </c>
      <c r="E74" s="328" t="s">
        <v>531</v>
      </c>
      <c r="F74" s="15">
        <v>0</v>
      </c>
      <c r="G74" s="15">
        <v>0</v>
      </c>
      <c r="H74" s="15">
        <v>0</v>
      </c>
      <c r="I74" s="323"/>
    </row>
    <row r="75" spans="1:9" ht="75" hidden="1">
      <c r="A75" s="87" t="s">
        <v>532</v>
      </c>
      <c r="B75" s="87"/>
      <c r="C75" s="87"/>
      <c r="D75" s="6" t="s">
        <v>533</v>
      </c>
      <c r="E75" s="328" t="s">
        <v>534</v>
      </c>
      <c r="F75" s="15">
        <v>0</v>
      </c>
      <c r="G75" s="15">
        <v>0</v>
      </c>
      <c r="H75" s="15">
        <v>0</v>
      </c>
      <c r="I75" s="323">
        <f>121500-121500</f>
        <v>0</v>
      </c>
    </row>
    <row r="76" spans="1:9" ht="28.5" hidden="1">
      <c r="A76" s="420">
        <v>24</v>
      </c>
      <c r="B76" s="421"/>
      <c r="C76" s="422"/>
      <c r="D76" s="8" t="s">
        <v>535</v>
      </c>
      <c r="E76" s="330"/>
      <c r="F76" s="15">
        <f>F83+F85</f>
        <v>0</v>
      </c>
      <c r="G76" s="15"/>
      <c r="H76" s="15"/>
      <c r="I76" s="319">
        <f>I82+I77+I79+I80+I81+I78+I85+I83+I84</f>
        <v>0</v>
      </c>
    </row>
    <row r="77" spans="1:9" ht="15" hidden="1">
      <c r="A77" s="88">
        <v>2414060</v>
      </c>
      <c r="B77" s="85" t="s">
        <v>292</v>
      </c>
      <c r="C77" s="85" t="s">
        <v>233</v>
      </c>
      <c r="D77" s="6" t="s">
        <v>536</v>
      </c>
      <c r="E77" s="328" t="s">
        <v>493</v>
      </c>
      <c r="F77" s="15">
        <v>0</v>
      </c>
      <c r="G77" s="15">
        <v>0</v>
      </c>
      <c r="H77" s="15">
        <v>0</v>
      </c>
      <c r="I77" s="27"/>
    </row>
    <row r="78" spans="1:9" ht="15" hidden="1">
      <c r="A78" s="88" t="s">
        <v>537</v>
      </c>
      <c r="B78" s="84"/>
      <c r="C78" s="84"/>
      <c r="D78" s="6" t="s">
        <v>26</v>
      </c>
      <c r="E78" s="328" t="s">
        <v>493</v>
      </c>
      <c r="F78" s="15">
        <v>0</v>
      </c>
      <c r="G78" s="15">
        <v>0</v>
      </c>
      <c r="H78" s="15">
        <v>0</v>
      </c>
      <c r="I78" s="27"/>
    </row>
    <row r="79" spans="1:9" ht="22.5" hidden="1">
      <c r="A79" s="88">
        <v>2414090</v>
      </c>
      <c r="B79" s="85" t="s">
        <v>538</v>
      </c>
      <c r="C79" s="85" t="s">
        <v>299</v>
      </c>
      <c r="D79" s="6" t="s">
        <v>539</v>
      </c>
      <c r="E79" s="328" t="s">
        <v>493</v>
      </c>
      <c r="F79" s="15">
        <v>0</v>
      </c>
      <c r="G79" s="15">
        <v>0</v>
      </c>
      <c r="H79" s="15">
        <v>0</v>
      </c>
      <c r="I79" s="27"/>
    </row>
    <row r="80" spans="1:9" ht="15" hidden="1">
      <c r="A80" s="88" t="s">
        <v>540</v>
      </c>
      <c r="B80" s="85" t="s">
        <v>297</v>
      </c>
      <c r="C80" s="85"/>
      <c r="D80" s="6" t="s">
        <v>541</v>
      </c>
      <c r="E80" s="328" t="s">
        <v>493</v>
      </c>
      <c r="F80" s="15">
        <v>0</v>
      </c>
      <c r="G80" s="15">
        <v>0</v>
      </c>
      <c r="H80" s="15">
        <v>0</v>
      </c>
      <c r="I80" s="27"/>
    </row>
    <row r="81" spans="1:9" ht="33.75" hidden="1">
      <c r="A81" s="88">
        <v>250403</v>
      </c>
      <c r="B81" s="84"/>
      <c r="C81" s="84"/>
      <c r="D81" s="6" t="s">
        <v>102</v>
      </c>
      <c r="E81" s="328" t="s">
        <v>493</v>
      </c>
      <c r="F81" s="15">
        <v>0</v>
      </c>
      <c r="G81" s="15">
        <v>0</v>
      </c>
      <c r="H81" s="15">
        <v>0</v>
      </c>
      <c r="I81" s="322"/>
    </row>
    <row r="82" spans="1:9" ht="75" hidden="1">
      <c r="A82" s="425">
        <v>2416310</v>
      </c>
      <c r="B82" s="423" t="s">
        <v>307</v>
      </c>
      <c r="C82" s="423" t="s">
        <v>230</v>
      </c>
      <c r="D82" s="426" t="s">
        <v>262</v>
      </c>
      <c r="E82" s="328" t="s">
        <v>542</v>
      </c>
      <c r="F82" s="15">
        <v>0</v>
      </c>
      <c r="G82" s="15">
        <v>0</v>
      </c>
      <c r="H82" s="15">
        <v>0</v>
      </c>
      <c r="I82" s="322"/>
    </row>
    <row r="83" spans="1:9" ht="15" hidden="1">
      <c r="A83" s="425"/>
      <c r="B83" s="424"/>
      <c r="C83" s="424"/>
      <c r="D83" s="427"/>
      <c r="E83" s="328"/>
      <c r="F83" s="15">
        <v>0</v>
      </c>
      <c r="G83" s="15">
        <v>0</v>
      </c>
      <c r="H83" s="15">
        <v>0</v>
      </c>
      <c r="I83" s="27"/>
    </row>
    <row r="84" spans="1:9" ht="75" hidden="1">
      <c r="A84" s="88"/>
      <c r="B84" s="212"/>
      <c r="C84" s="212"/>
      <c r="D84" s="428"/>
      <c r="E84" s="328" t="s">
        <v>542</v>
      </c>
      <c r="F84" s="15">
        <v>0</v>
      </c>
      <c r="G84" s="15">
        <v>0</v>
      </c>
      <c r="H84" s="15">
        <v>0</v>
      </c>
      <c r="I84" s="27"/>
    </row>
    <row r="85" spans="1:9" ht="33.75" hidden="1">
      <c r="A85" s="88">
        <v>250403</v>
      </c>
      <c r="B85" s="222"/>
      <c r="C85" s="222"/>
      <c r="D85" s="6" t="s">
        <v>507</v>
      </c>
      <c r="E85" s="328" t="s">
        <v>493</v>
      </c>
      <c r="F85" s="15">
        <v>0</v>
      </c>
      <c r="G85" s="15">
        <v>0</v>
      </c>
      <c r="H85" s="15">
        <v>0</v>
      </c>
      <c r="I85" s="27"/>
    </row>
    <row r="86" spans="1:9" ht="28.5" hidden="1">
      <c r="A86" s="223">
        <v>11</v>
      </c>
      <c r="B86" s="224"/>
      <c r="C86" s="224"/>
      <c r="D86" s="8" t="s">
        <v>543</v>
      </c>
      <c r="E86" s="328"/>
      <c r="F86" s="15"/>
      <c r="G86" s="15"/>
      <c r="H86" s="15"/>
      <c r="I86" s="321"/>
    </row>
    <row r="87" spans="1:9" ht="22.5" hidden="1">
      <c r="A87" s="225">
        <v>191101</v>
      </c>
      <c r="B87" s="226"/>
      <c r="C87" s="226"/>
      <c r="D87" s="6" t="s">
        <v>544</v>
      </c>
      <c r="E87" s="328"/>
      <c r="F87" s="15"/>
      <c r="G87" s="15"/>
      <c r="H87" s="15"/>
      <c r="I87" s="27"/>
    </row>
    <row r="88" spans="1:9" ht="150">
      <c r="A88" s="349" t="s">
        <v>638</v>
      </c>
      <c r="B88" s="349" t="s">
        <v>639</v>
      </c>
      <c r="C88" s="349" t="s">
        <v>640</v>
      </c>
      <c r="D88" s="338" t="s">
        <v>641</v>
      </c>
      <c r="E88" s="328" t="s">
        <v>545</v>
      </c>
      <c r="F88" s="15">
        <v>0</v>
      </c>
      <c r="G88" s="15">
        <v>0</v>
      </c>
      <c r="H88" s="15">
        <v>0</v>
      </c>
      <c r="I88" s="27">
        <v>1767620</v>
      </c>
    </row>
    <row r="89" spans="1:9" ht="28.5">
      <c r="A89" s="420">
        <v>37</v>
      </c>
      <c r="B89" s="421"/>
      <c r="C89" s="422"/>
      <c r="D89" s="8" t="s">
        <v>109</v>
      </c>
      <c r="E89" s="330"/>
      <c r="F89" s="15"/>
      <c r="G89" s="15"/>
      <c r="H89" s="15"/>
      <c r="I89" s="324">
        <f>I90+I91+I94+I93</f>
        <v>1401079</v>
      </c>
    </row>
    <row r="90" spans="1:9" ht="60" hidden="1">
      <c r="A90" s="88">
        <v>3719510</v>
      </c>
      <c r="B90" s="85" t="s">
        <v>589</v>
      </c>
      <c r="C90" s="85" t="s">
        <v>301</v>
      </c>
      <c r="D90" s="128" t="s">
        <v>590</v>
      </c>
      <c r="E90" s="329" t="s">
        <v>545</v>
      </c>
      <c r="F90" s="15">
        <v>0</v>
      </c>
      <c r="G90" s="15">
        <v>0</v>
      </c>
      <c r="H90" s="15">
        <v>0</v>
      </c>
      <c r="I90" s="320"/>
    </row>
    <row r="91" spans="1:9" ht="135">
      <c r="A91" s="89">
        <v>3719570</v>
      </c>
      <c r="B91" s="309" t="s">
        <v>574</v>
      </c>
      <c r="C91" s="309" t="s">
        <v>301</v>
      </c>
      <c r="D91" s="338" t="s">
        <v>610</v>
      </c>
      <c r="E91" s="329" t="s">
        <v>545</v>
      </c>
      <c r="F91" s="15">
        <v>0</v>
      </c>
      <c r="G91" s="15">
        <v>0</v>
      </c>
      <c r="H91" s="15">
        <v>0</v>
      </c>
      <c r="I91" s="321">
        <f>25000+1143</f>
        <v>26143</v>
      </c>
    </row>
    <row r="92" spans="1:9" ht="42.75" hidden="1">
      <c r="A92" s="89">
        <v>53</v>
      </c>
      <c r="B92" s="90"/>
      <c r="C92" s="90"/>
      <c r="D92" s="8" t="s">
        <v>546</v>
      </c>
      <c r="E92" s="213" t="s">
        <v>545</v>
      </c>
      <c r="F92" s="15"/>
      <c r="G92" s="15"/>
      <c r="H92" s="15"/>
      <c r="I92" s="321"/>
    </row>
    <row r="93" spans="1:9" ht="30">
      <c r="A93" s="89">
        <v>3719770</v>
      </c>
      <c r="B93" s="309" t="s">
        <v>390</v>
      </c>
      <c r="C93" s="309" t="s">
        <v>301</v>
      </c>
      <c r="D93" s="333" t="s">
        <v>591</v>
      </c>
      <c r="E93" s="339" t="s">
        <v>545</v>
      </c>
      <c r="F93" s="15">
        <v>0</v>
      </c>
      <c r="G93" s="15">
        <v>0</v>
      </c>
      <c r="H93" s="15">
        <v>0</v>
      </c>
      <c r="I93" s="321">
        <v>213000</v>
      </c>
    </row>
    <row r="94" spans="1:9" ht="30">
      <c r="A94" s="89">
        <v>3719770</v>
      </c>
      <c r="B94" s="309" t="s">
        <v>390</v>
      </c>
      <c r="C94" s="309" t="s">
        <v>301</v>
      </c>
      <c r="D94" s="333" t="s">
        <v>575</v>
      </c>
      <c r="E94" s="339" t="s">
        <v>545</v>
      </c>
      <c r="F94" s="15">
        <v>0</v>
      </c>
      <c r="G94" s="15">
        <v>0</v>
      </c>
      <c r="H94" s="15">
        <v>0</v>
      </c>
      <c r="I94" s="321">
        <v>1161936</v>
      </c>
    </row>
    <row r="95" spans="1:9" ht="28.5" hidden="1">
      <c r="A95" s="420">
        <v>10</v>
      </c>
      <c r="B95" s="421"/>
      <c r="C95" s="422"/>
      <c r="D95" s="8" t="s">
        <v>535</v>
      </c>
      <c r="E95" s="211"/>
      <c r="F95" s="15"/>
      <c r="G95" s="15"/>
      <c r="H95" s="15"/>
      <c r="I95" s="321">
        <f>I96+I97+I98</f>
        <v>0</v>
      </c>
    </row>
    <row r="96" spans="1:9" ht="15" hidden="1">
      <c r="A96" s="88">
        <v>1014030</v>
      </c>
      <c r="B96" s="85" t="s">
        <v>383</v>
      </c>
      <c r="C96" s="85" t="s">
        <v>233</v>
      </c>
      <c r="D96" s="117" t="s">
        <v>547</v>
      </c>
      <c r="E96" s="211" t="s">
        <v>493</v>
      </c>
      <c r="F96" s="15">
        <v>0</v>
      </c>
      <c r="G96" s="15">
        <v>0</v>
      </c>
      <c r="H96" s="15">
        <v>0</v>
      </c>
      <c r="I96" s="27"/>
    </row>
    <row r="97" spans="1:9" ht="36.75" hidden="1" thickBot="1">
      <c r="A97" s="238">
        <v>1014060</v>
      </c>
      <c r="B97" s="237" t="s">
        <v>292</v>
      </c>
      <c r="C97" s="237" t="s">
        <v>299</v>
      </c>
      <c r="D97" s="221" t="s">
        <v>385</v>
      </c>
      <c r="E97" s="239" t="s">
        <v>493</v>
      </c>
      <c r="F97" s="240">
        <v>0</v>
      </c>
      <c r="G97" s="240">
        <v>0</v>
      </c>
      <c r="H97" s="240">
        <v>0</v>
      </c>
      <c r="I97" s="325"/>
    </row>
    <row r="98" spans="1:9" ht="60" hidden="1">
      <c r="A98" s="241" t="s">
        <v>562</v>
      </c>
      <c r="B98" s="242" t="s">
        <v>556</v>
      </c>
      <c r="C98" s="242" t="s">
        <v>556</v>
      </c>
      <c r="D98" s="243" t="s">
        <v>561</v>
      </c>
      <c r="E98" s="244" t="s">
        <v>493</v>
      </c>
      <c r="F98" s="245">
        <v>0</v>
      </c>
      <c r="G98" s="245">
        <v>0</v>
      </c>
      <c r="H98" s="245">
        <v>0</v>
      </c>
      <c r="I98" s="326"/>
    </row>
    <row r="99" spans="1:9" ht="15" customHeight="1" thickBot="1">
      <c r="A99" s="246"/>
      <c r="B99" s="247"/>
      <c r="C99" s="247"/>
      <c r="D99" s="248" t="s">
        <v>4</v>
      </c>
      <c r="E99" s="249"/>
      <c r="F99" s="249">
        <f>F14+F27+F40+F41+F43+F76</f>
        <v>0</v>
      </c>
      <c r="G99" s="249">
        <v>0</v>
      </c>
      <c r="H99" s="249">
        <f>H11+H25+H43+H68+H76+H89</f>
        <v>0</v>
      </c>
      <c r="I99" s="327">
        <f>I11+I25+I43+I68+I76+I89+I86+I92+I95</f>
        <v>9972473.55</v>
      </c>
    </row>
    <row r="100" spans="1:3" ht="33.75" customHeight="1">
      <c r="A100" s="12"/>
      <c r="B100" s="12"/>
      <c r="C100" s="12"/>
    </row>
    <row r="101" spans="1:9" ht="18.75">
      <c r="A101" s="388" t="s">
        <v>90</v>
      </c>
      <c r="B101" s="388"/>
      <c r="C101" s="388"/>
      <c r="D101" s="388"/>
      <c r="E101" s="23"/>
      <c r="F101" s="23"/>
      <c r="G101" s="26" t="s">
        <v>643</v>
      </c>
      <c r="H101" s="23"/>
      <c r="I101" s="23"/>
    </row>
  </sheetData>
  <sheetProtection/>
  <mergeCells count="31">
    <mergeCell ref="B8:B9"/>
    <mergeCell ref="B62:B65"/>
    <mergeCell ref="H1:I1"/>
    <mergeCell ref="H3:I3"/>
    <mergeCell ref="E8:E9"/>
    <mergeCell ref="F8:F9"/>
    <mergeCell ref="G8:G9"/>
    <mergeCell ref="H8:H9"/>
    <mergeCell ref="A6:I6"/>
    <mergeCell ref="A5:I5"/>
    <mergeCell ref="I8:I9"/>
    <mergeCell ref="A68:C68"/>
    <mergeCell ref="A39:C39"/>
    <mergeCell ref="A27:A28"/>
    <mergeCell ref="D27:D28"/>
    <mergeCell ref="A8:A9"/>
    <mergeCell ref="C62:C65"/>
    <mergeCell ref="A43:C43"/>
    <mergeCell ref="A25:C25"/>
    <mergeCell ref="A11:C11"/>
    <mergeCell ref="C8:C9"/>
    <mergeCell ref="A101:D101"/>
    <mergeCell ref="D62:D65"/>
    <mergeCell ref="A62:A65"/>
    <mergeCell ref="A89:C89"/>
    <mergeCell ref="B82:B83"/>
    <mergeCell ref="C82:C83"/>
    <mergeCell ref="A76:C76"/>
    <mergeCell ref="A82:A83"/>
    <mergeCell ref="D82:D84"/>
    <mergeCell ref="A95:C95"/>
  </mergeCells>
  <printOptions horizontalCentered="1"/>
  <pageMargins left="0.1968503937007874" right="0" top="0.1968503937007874" bottom="0.1968503937007874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RDA</cp:lastModifiedBy>
  <cp:lastPrinted>2019-12-10T08:17:27Z</cp:lastPrinted>
  <dcterms:created xsi:type="dcterms:W3CDTF">2010-12-20T06:32:23Z</dcterms:created>
  <dcterms:modified xsi:type="dcterms:W3CDTF">2019-12-10T08:17:43Z</dcterms:modified>
  <cp:category/>
  <cp:version/>
  <cp:contentType/>
  <cp:contentStatus/>
</cp:coreProperties>
</file>